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<sst xmlns="http://schemas.openxmlformats.org/spreadsheetml/2006/main" count="299" uniqueCount="122">
  <si>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</si>
  <si>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</si>
  <si>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</si>
  <si>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</si>
  <si>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</si>
  <si>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</si>
  <si>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</si>
  <si>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</si>
  <si>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</si>
  <si>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</si>
  <si>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</si>
  <si>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</si>
  <si>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</si>
  <si>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</si>
  <si>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</si>
  <si>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</si>
  <si>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</si>
  <si>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</si>
  <si>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</si>
  <si>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</si>
  <si>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</si>
  <si>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</si>
  <si>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</si>
  <si>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</si>
  <si>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</si>
  <si>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</si>
  <si>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</si>
  <si>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</si>
  <si>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</si>
  <si>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</si>
  <si>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</si>
  <si>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</si>
  <si>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</si>
  <si>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</si>
  <si>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</si>
  <si>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</si>
  <si>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</si>
  <si>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</si>
  <si>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</si>
  <si>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</si>
  <si>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</si>
  <si>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</si>
  <si>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</si>
  <si>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</si>
  <si>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</si>
  <si>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</si>
  <si>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</si>
  <si>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</si>
  <si>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</si>
  <si>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</si>
  <si>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</si>
  <si>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</si>
  <si>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</si>
  <si>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</si>
  <si>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</si>
  <si>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</si>
  <si>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</si>
  <si>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</si>
  <si>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</si>
  <si>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</si>
  <si>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</si>
  <si>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</si>
  <si>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</si>
  <si>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</si>
  <si>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</si>
  <si>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</si>
  <si>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</si>
  <si>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</si>
  <si>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Лицевой счет по адресу пос. Калары, ул. Набережная, д. 9</t>
  </si>
  <si>
    <t>Выписка по лицевому счету по адресу  пос. Калары, ул. Набережная, д. 9</t>
  </si>
  <si>
    <t>2010 год</t>
  </si>
  <si>
    <t>Доп. работы по содержанию ТУК</t>
  </si>
  <si>
    <t>Собрано всего по жил.услугам</t>
  </si>
  <si>
    <t>Доходы по нежил.помещениям</t>
  </si>
  <si>
    <t>Расходы по нежил. помещениям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</si>
  <si>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</si>
  <si>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</si>
  <si>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</si>
  <si>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</si>
  <si>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</si>
  <si>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</si>
  <si>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квартплаты от населения</t>
  </si>
  <si>
    <t>Собрано по содержанию и тек.рем.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</si>
  <si>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</si>
  <si>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</si>
  <si>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</si>
  <si>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</si>
  <si>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</si>
  <si>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</si>
  <si>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</si>
  <si>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Ю.С. Дмитриева</t>
  </si>
  <si>
    <t>тел. 3-48-80</t>
  </si>
  <si>
    <t>на 01.01.2011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</si>
  <si>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</si>
  <si>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</si>
  <si>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</si>
  <si>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</si>
  <si>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</si>
  <si>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</si>
  <si>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</si>
  <si>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</si>
  <si>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</si>
  <si>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</si>
  <si>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</si>
  <si>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</si>
  <si>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</si>
  <si>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</si>
  <si>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</si>
  <si>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</si>
  <si>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</si>
  <si>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</si>
  <si>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</si>
  <si>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</si>
  <si>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</si>
  <si>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</si>
  <si>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</si>
  <si>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Услуга начисления</t>
  </si>
  <si>
    <t>на начало отчетного периода</t>
  </si>
  <si>
    <t>*по состоянию на 01.01.2012 г.</t>
  </si>
  <si>
    <t>Исп. В.В. Колмогорова</t>
  </si>
  <si>
    <t>Выписка по лицевому счету по адресу пос. Калары ул. Набережная, д. 9</t>
  </si>
  <si>
    <t>Тариф по содержанию и тек.ремонту 100 % (1,00руб.*площадь)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</si>
</sst>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4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" fillId="0" borderId="18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 horizontal="right"/>
    </xf>
    <xf numFmtId="4" fontId="2" fillId="0" borderId="13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2" fillId="0" borderId="31" xfId="34" applyNumberFormat="1" applyFont="1" applyFill="1" applyBorder="1" applyAlignment="1">
      <alignment horizontal="center" vertical="center" wrapText="1"/>
      <protection/>
    </xf>
    <xf numFmtId="4" fontId="2" fillId="34" borderId="12" xfId="34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wrapText="1"/>
    </xf>
    <xf numFmtId="4" fontId="1" fillId="33" borderId="13" xfId="0" applyNumberFormat="1" applyFont="1" applyFill="1" applyBorder="1" applyAlignment="1">
      <alignment wrapText="1"/>
    </xf>
    <xf numFmtId="4" fontId="1" fillId="34" borderId="13" xfId="0" applyNumberFormat="1" applyFont="1" applyFill="1" applyBorder="1" applyAlignment="1">
      <alignment wrapText="1"/>
    </xf>
    <xf numFmtId="4" fontId="1" fillId="34" borderId="13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34" borderId="13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37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2" fillId="0" borderId="32" xfId="34" applyNumberFormat="1" applyFont="1" applyFill="1" applyBorder="1" applyAlignment="1">
      <alignment horizontal="center" vertical="center" wrapText="1"/>
      <protection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/>
    </xf>
    <xf numFmtId="4" fontId="0" fillId="34" borderId="13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0" fillId="0" borderId="32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166" fontId="0" fillId="37" borderId="1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13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165" fontId="0" fillId="37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66" fontId="0" fillId="37" borderId="13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0" fillId="35" borderId="32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 horizontal="center"/>
    </xf>
    <xf numFmtId="0" fontId="9" fillId="0" borderId="0" xfId="0" applyFont="1" applyFill="1" applyAlignment="1">
      <alignment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3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textRotation="90"/>
    </xf>
    <xf numFmtId="0" fontId="1" fillId="33" borderId="34" xfId="0" applyFont="1" applyFill="1" applyBorder="1" applyAlignment="1">
      <alignment horizontal="center" textRotation="90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30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6" borderId="16" xfId="0" applyNumberFormat="1" applyFont="1" applyFill="1" applyBorder="1" applyAlignment="1">
      <alignment horizontal="center" vertical="center" wrapText="1"/>
    </xf>
    <xf numFmtId="2" fontId="1" fillId="36" borderId="3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4" fontId="1" fillId="0" borderId="16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34" borderId="35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2" fontId="6" fillId="0" borderId="45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35" borderId="35" xfId="0" applyFont="1" applyFill="1" applyBorder="1" applyAlignment="1">
      <alignment horizontal="center" textRotation="90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27" fillId="0" borderId="35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textRotation="90"/>
    </xf>
    <xf numFmtId="0" fontId="1" fillId="35" borderId="30" xfId="0" applyFont="1" applyFill="1" applyBorder="1" applyAlignment="1">
      <alignment horizontal="center" textRotation="90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27" fillId="0" borderId="30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37" borderId="30" xfId="0" applyNumberFormat="1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59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66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0" fillId="35" borderId="28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67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2" fillId="0" borderId="14" xfId="0" applyNumberFormat="1" applyFont="1" applyFill="1" applyBorder="1" applyAlignment="1">
      <alignment horizontal="center" wrapText="1"/>
    </xf>
    <xf numFmtId="4" fontId="0" fillId="0" borderId="20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68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35" borderId="21" xfId="0" applyFont="1" applyFill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69" xfId="0" applyFont="1" applyBorder="1" applyAlignment="1">
      <alignment wrapText="1"/>
    </xf>
    <xf numFmtId="4" fontId="0" fillId="0" borderId="12" xfId="0" applyNumberFormat="1" applyFont="1" applyBorder="1" applyAlignment="1">
      <alignment horizontal="center"/>
    </xf>
    <xf numFmtId="0" fontId="28" fillId="0" borderId="13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35" borderId="21" xfId="0" applyFont="1" applyFill="1" applyBorder="1" applyAlignment="1">
      <alignment/>
    </xf>
    <xf numFmtId="0" fontId="28" fillId="0" borderId="32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35" borderId="14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4" fontId="29" fillId="0" borderId="32" xfId="34" applyNumberFormat="1" applyFont="1" applyFill="1" applyBorder="1" applyAlignment="1">
      <alignment horizontal="center" vertical="center" wrapText="1"/>
      <protection/>
    </xf>
    <xf numFmtId="4" fontId="0" fillId="34" borderId="68" xfId="0" applyNumberFormat="1" applyFill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4" xfId="0" applyFont="1" applyFill="1" applyBorder="1" applyAlignment="1">
      <alignment wrapText="1"/>
    </xf>
    <xf numFmtId="4" fontId="0" fillId="0" borderId="59" xfId="0" applyNumberFormat="1" applyFont="1" applyFill="1" applyBorder="1" applyAlignment="1">
      <alignment/>
    </xf>
    <xf numFmtId="4" fontId="2" fillId="34" borderId="68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1" fillId="0" borderId="44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38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1" fillId="0" borderId="7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4" fontId="2" fillId="0" borderId="58" xfId="34" applyNumberFormat="1" applyFont="1" applyFill="1" applyBorder="1" applyAlignment="1">
      <alignment horizontal="right" vertical="center" wrapText="1"/>
      <protection/>
    </xf>
    <xf numFmtId="4" fontId="0" fillId="0" borderId="29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wrapText="1"/>
    </xf>
    <xf numFmtId="4" fontId="1" fillId="0" borderId="7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27" xfId="0" applyNumberFormat="1" applyBorder="1" applyAlignment="1">
      <alignment horizontal="center"/>
    </xf>
    <xf numFmtId="4" fontId="0" fillId="0" borderId="27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 wrapText="1"/>
    </xf>
    <xf numFmtId="4" fontId="0" fillId="0" borderId="45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2" fontId="30" fillId="0" borderId="66" xfId="34" applyNumberFormat="1" applyFont="1" applyFill="1" applyBorder="1" applyAlignment="1">
      <alignment horizontal="center" vertical="center" wrapText="1"/>
      <protection/>
    </xf>
    <xf numFmtId="2" fontId="0" fillId="0" borderId="32" xfId="0" applyNumberFormat="1" applyFont="1" applyFill="1" applyBorder="1" applyAlignment="1">
      <alignment horizontal="center"/>
    </xf>
    <xf numFmtId="4" fontId="29" fillId="34" borderId="12" xfId="34" applyNumberFormat="1" applyFont="1" applyFill="1" applyBorder="1" applyAlignment="1">
      <alignment horizontal="center" vertical="center" wrapText="1"/>
      <protection/>
    </xf>
    <xf numFmtId="4" fontId="29" fillId="34" borderId="13" xfId="0" applyNumberFormat="1" applyFont="1" applyFill="1" applyBorder="1" applyAlignment="1">
      <alignment/>
    </xf>
    <xf numFmtId="4" fontId="8" fillId="34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4" fontId="8" fillId="36" borderId="1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center" wrapText="1"/>
    </xf>
    <xf numFmtId="4" fontId="0" fillId="0" borderId="32" xfId="0" applyNumberFormat="1" applyFont="1" applyBorder="1" applyAlignment="1">
      <alignment horizontal="center"/>
    </xf>
    <xf numFmtId="4" fontId="0" fillId="35" borderId="14" xfId="0" applyNumberFormat="1" applyFont="1" applyFill="1" applyBorder="1" applyAlignment="1">
      <alignment horizontal="center" wrapText="1"/>
    </xf>
    <xf numFmtId="4" fontId="0" fillId="37" borderId="1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.&#1052;&#1072;&#1088;&#1082;&#1089;&#1072;,%206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7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39">
          <cell r="O39">
            <v>0</v>
          </cell>
          <cell r="AF3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AA46">
            <v>0</v>
          </cell>
          <cell r="AD46">
            <v>0</v>
          </cell>
          <cell r="AE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6">
          <cell r="BA16">
            <v>-1111.19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N1">
      <selection activeCell="A1" sqref="A1:N1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6" width="10.75390625" style="2" bestFit="1" customWidth="1"/>
    <col min="17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3" width="9.25390625" style="2" customWidth="1"/>
    <col min="44" max="44" width="10.125" style="2" bestFit="1" customWidth="1"/>
    <col min="45" max="45" width="9.25390625" style="2" bestFit="1" customWidth="1"/>
    <col min="46" max="46" width="10.625" style="2" customWidth="1"/>
    <col min="47" max="47" width="7.625" style="2" bestFit="1" customWidth="1"/>
    <col min="48" max="48" width="10.125" style="2" bestFit="1" customWidth="1"/>
    <col min="49" max="49" width="7.375" style="2" customWidth="1"/>
    <col min="50" max="50" width="10.375" style="2" customWidth="1"/>
    <col min="51" max="51" width="10.75390625" style="2" customWidth="1"/>
    <col min="52" max="52" width="14.00390625" style="2" customWidth="1"/>
    <col min="53" max="56" width="9.125" style="2" customWidth="1"/>
    <col min="57" max="57" width="11.375" style="2" customWidth="1"/>
    <col min="58" max="16384" width="9.125" style="2" customWidth="1"/>
  </cols>
  <sheetData>
    <row r="1" spans="1:18" ht="12.75">
      <c r="A1" s="148" t="s">
        <v>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9" t="s">
        <v>0</v>
      </c>
      <c r="B3" s="152" t="s">
        <v>1</v>
      </c>
      <c r="C3" s="152" t="s">
        <v>2</v>
      </c>
      <c r="D3" s="152" t="s">
        <v>3</v>
      </c>
      <c r="E3" s="155" t="s">
        <v>4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66" t="s">
        <v>5</v>
      </c>
      <c r="T3" s="166"/>
      <c r="U3" s="157" t="s">
        <v>6</v>
      </c>
      <c r="V3" s="157"/>
      <c r="W3" s="157"/>
      <c r="X3" s="157"/>
      <c r="Y3" s="157"/>
      <c r="Z3" s="157"/>
      <c r="AA3" s="157"/>
      <c r="AB3" s="157"/>
      <c r="AC3" s="159" t="s">
        <v>72</v>
      </c>
      <c r="AD3" s="159" t="s">
        <v>8</v>
      </c>
      <c r="AE3" s="167" t="s">
        <v>9</v>
      </c>
      <c r="AF3" s="170" t="s">
        <v>73</v>
      </c>
      <c r="AG3" s="173" t="s">
        <v>10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34" t="s">
        <v>74</v>
      </c>
      <c r="BD3" s="137" t="s">
        <v>11</v>
      </c>
      <c r="BE3" s="140" t="s">
        <v>12</v>
      </c>
    </row>
    <row r="4" spans="1:57" ht="36" customHeight="1" thickBot="1">
      <c r="A4" s="150"/>
      <c r="B4" s="153"/>
      <c r="C4" s="153"/>
      <c r="D4" s="153"/>
      <c r="E4" s="156" t="s">
        <v>13</v>
      </c>
      <c r="F4" s="156"/>
      <c r="G4" s="156" t="s">
        <v>14</v>
      </c>
      <c r="H4" s="156"/>
      <c r="I4" s="156" t="s">
        <v>15</v>
      </c>
      <c r="J4" s="156"/>
      <c r="K4" s="156" t="s">
        <v>16</v>
      </c>
      <c r="L4" s="156"/>
      <c r="M4" s="156" t="s">
        <v>17</v>
      </c>
      <c r="N4" s="156"/>
      <c r="O4" s="156" t="s">
        <v>18</v>
      </c>
      <c r="P4" s="156"/>
      <c r="Q4" s="156" t="s">
        <v>19</v>
      </c>
      <c r="R4" s="156"/>
      <c r="S4" s="156"/>
      <c r="T4" s="156"/>
      <c r="U4" s="158"/>
      <c r="V4" s="158"/>
      <c r="W4" s="158"/>
      <c r="X4" s="158"/>
      <c r="Y4" s="158"/>
      <c r="Z4" s="158"/>
      <c r="AA4" s="158"/>
      <c r="AB4" s="158"/>
      <c r="AC4" s="160"/>
      <c r="AD4" s="160"/>
      <c r="AE4" s="168"/>
      <c r="AF4" s="171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35"/>
      <c r="BD4" s="138"/>
      <c r="BE4" s="141"/>
    </row>
    <row r="5" spans="1:57" ht="29.25" customHeight="1" thickBot="1">
      <c r="A5" s="150"/>
      <c r="B5" s="153"/>
      <c r="C5" s="153"/>
      <c r="D5" s="153"/>
      <c r="E5" s="162" t="s">
        <v>20</v>
      </c>
      <c r="F5" s="162" t="s">
        <v>21</v>
      </c>
      <c r="G5" s="162" t="s">
        <v>20</v>
      </c>
      <c r="H5" s="162" t="s">
        <v>21</v>
      </c>
      <c r="I5" s="162" t="s">
        <v>20</v>
      </c>
      <c r="J5" s="162" t="s">
        <v>21</v>
      </c>
      <c r="K5" s="162" t="s">
        <v>20</v>
      </c>
      <c r="L5" s="162" t="s">
        <v>21</v>
      </c>
      <c r="M5" s="162" t="s">
        <v>20</v>
      </c>
      <c r="N5" s="162" t="s">
        <v>21</v>
      </c>
      <c r="O5" s="162" t="s">
        <v>20</v>
      </c>
      <c r="P5" s="162" t="s">
        <v>21</v>
      </c>
      <c r="Q5" s="162" t="s">
        <v>20</v>
      </c>
      <c r="R5" s="162" t="s">
        <v>21</v>
      </c>
      <c r="S5" s="162" t="s">
        <v>20</v>
      </c>
      <c r="T5" s="162" t="s">
        <v>21</v>
      </c>
      <c r="U5" s="164" t="s">
        <v>22</v>
      </c>
      <c r="V5" s="164" t="s">
        <v>23</v>
      </c>
      <c r="W5" s="164" t="s">
        <v>24</v>
      </c>
      <c r="X5" s="164" t="s">
        <v>25</v>
      </c>
      <c r="Y5" s="164" t="s">
        <v>26</v>
      </c>
      <c r="Z5" s="164" t="s">
        <v>27</v>
      </c>
      <c r="AA5" s="164" t="s">
        <v>28</v>
      </c>
      <c r="AB5" s="164" t="s">
        <v>29</v>
      </c>
      <c r="AC5" s="160"/>
      <c r="AD5" s="160"/>
      <c r="AE5" s="168"/>
      <c r="AF5" s="171"/>
      <c r="AG5" s="146" t="s">
        <v>30</v>
      </c>
      <c r="AH5" s="146" t="s">
        <v>31</v>
      </c>
      <c r="AI5" s="146" t="s">
        <v>32</v>
      </c>
      <c r="AJ5" s="146" t="s">
        <v>33</v>
      </c>
      <c r="AK5" s="146" t="s">
        <v>34</v>
      </c>
      <c r="AL5" s="146" t="s">
        <v>33</v>
      </c>
      <c r="AM5" s="146" t="s">
        <v>35</v>
      </c>
      <c r="AN5" s="146" t="s">
        <v>33</v>
      </c>
      <c r="AO5" s="146" t="s">
        <v>36</v>
      </c>
      <c r="AP5" s="146" t="s">
        <v>33</v>
      </c>
      <c r="AQ5" s="180" t="s">
        <v>71</v>
      </c>
      <c r="AR5" s="176" t="s">
        <v>33</v>
      </c>
      <c r="AS5" s="178" t="s">
        <v>75</v>
      </c>
      <c r="AT5" s="174" t="s">
        <v>76</v>
      </c>
      <c r="AU5" s="174" t="s">
        <v>33</v>
      </c>
      <c r="AV5" s="143" t="s">
        <v>77</v>
      </c>
      <c r="AW5" s="144"/>
      <c r="AX5" s="145"/>
      <c r="AY5" s="146" t="s">
        <v>19</v>
      </c>
      <c r="AZ5" s="146" t="s">
        <v>38</v>
      </c>
      <c r="BA5" s="146" t="s">
        <v>33</v>
      </c>
      <c r="BB5" s="146" t="s">
        <v>39</v>
      </c>
      <c r="BC5" s="135"/>
      <c r="BD5" s="138"/>
      <c r="BE5" s="141"/>
    </row>
    <row r="6" spans="1:57" ht="54" customHeight="1" thickBot="1">
      <c r="A6" s="151"/>
      <c r="B6" s="154"/>
      <c r="C6" s="154"/>
      <c r="D6" s="154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5"/>
      <c r="V6" s="165"/>
      <c r="W6" s="165"/>
      <c r="X6" s="165"/>
      <c r="Y6" s="165"/>
      <c r="Z6" s="165"/>
      <c r="AA6" s="165"/>
      <c r="AB6" s="165"/>
      <c r="AC6" s="161"/>
      <c r="AD6" s="161"/>
      <c r="AE6" s="169"/>
      <c r="AF6" s="172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81"/>
      <c r="AR6" s="177"/>
      <c r="AS6" s="179"/>
      <c r="AT6" s="175"/>
      <c r="AU6" s="175"/>
      <c r="AV6" s="52" t="s">
        <v>78</v>
      </c>
      <c r="AW6" s="52" t="s">
        <v>79</v>
      </c>
      <c r="AX6" s="52" t="s">
        <v>80</v>
      </c>
      <c r="AY6" s="147"/>
      <c r="AZ6" s="147"/>
      <c r="BA6" s="147"/>
      <c r="BB6" s="147"/>
      <c r="BC6" s="136"/>
      <c r="BD6" s="139"/>
      <c r="BE6" s="142"/>
    </row>
    <row r="7" spans="1:57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  <c r="AW7" s="6">
        <v>49</v>
      </c>
      <c r="AX7" s="7">
        <v>50</v>
      </c>
      <c r="AY7" s="6">
        <v>51</v>
      </c>
      <c r="AZ7" s="7">
        <v>52</v>
      </c>
      <c r="BA7" s="6">
        <v>53</v>
      </c>
      <c r="BB7" s="7">
        <v>54</v>
      </c>
      <c r="BC7" s="6">
        <v>55</v>
      </c>
      <c r="BD7" s="7">
        <v>56</v>
      </c>
      <c r="BE7" s="6">
        <v>57</v>
      </c>
    </row>
    <row r="8" spans="1:57" ht="15" customHeight="1" hidden="1">
      <c r="A8" s="5" t="s">
        <v>43</v>
      </c>
      <c r="B8" s="9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  <c r="R8" s="11"/>
      <c r="S8" s="11"/>
      <c r="T8" s="11"/>
      <c r="U8" s="18"/>
      <c r="V8" s="18"/>
      <c r="W8" s="18"/>
      <c r="X8" s="18"/>
      <c r="Y8" s="18"/>
      <c r="Z8" s="18"/>
      <c r="AA8" s="13"/>
      <c r="AB8" s="13"/>
      <c r="AC8" s="77"/>
      <c r="AD8" s="77"/>
      <c r="AE8" s="47"/>
      <c r="AF8" s="47"/>
      <c r="AG8" s="14"/>
      <c r="AH8" s="14"/>
      <c r="AI8" s="14"/>
      <c r="AJ8" s="14"/>
      <c r="AK8" s="14"/>
      <c r="AL8" s="14"/>
      <c r="AM8" s="14"/>
      <c r="AN8" s="14"/>
      <c r="AO8" s="15"/>
      <c r="AP8" s="15"/>
      <c r="AQ8" s="15"/>
      <c r="AR8" s="15"/>
      <c r="AS8" s="46"/>
      <c r="AT8" s="46"/>
      <c r="AU8" s="19"/>
      <c r="AV8" s="19"/>
      <c r="AW8" s="19"/>
      <c r="AX8" s="15"/>
      <c r="AY8" s="15"/>
      <c r="AZ8" s="15"/>
      <c r="BA8" s="14"/>
      <c r="BB8" s="14"/>
      <c r="BC8" s="14"/>
      <c r="BD8" s="14"/>
      <c r="BE8" s="16"/>
    </row>
    <row r="9" spans="1:57" ht="12.75" hidden="1">
      <c r="A9" s="8" t="s">
        <v>46</v>
      </c>
      <c r="B9" s="110">
        <v>368.6</v>
      </c>
      <c r="C9" s="55">
        <f>B9*8.65</f>
        <v>3188.3900000000003</v>
      </c>
      <c r="D9" s="56">
        <f>C9*0.125</f>
        <v>398.54875000000004</v>
      </c>
      <c r="E9" s="81">
        <v>190.27</v>
      </c>
      <c r="F9" s="81">
        <v>85.84</v>
      </c>
      <c r="G9" s="81">
        <v>69.55</v>
      </c>
      <c r="H9" s="81">
        <v>31.13</v>
      </c>
      <c r="I9" s="81">
        <v>310.99</v>
      </c>
      <c r="J9" s="81">
        <v>140.56</v>
      </c>
      <c r="K9" s="81">
        <v>214.46</v>
      </c>
      <c r="L9" s="81">
        <v>96.57</v>
      </c>
      <c r="M9" s="81">
        <v>152.21</v>
      </c>
      <c r="N9" s="81">
        <v>68.68</v>
      </c>
      <c r="O9" s="81">
        <v>3687.06</v>
      </c>
      <c r="P9" s="85">
        <v>831.76</v>
      </c>
      <c r="Q9" s="84">
        <v>0</v>
      </c>
      <c r="R9" s="85">
        <v>0</v>
      </c>
      <c r="S9" s="81">
        <f>E9+G9+I9+K9+M9+O9+Q9</f>
        <v>4624.54</v>
      </c>
      <c r="T9" s="111">
        <f>P9+N9+L9+J9+H9+F9+R9</f>
        <v>1254.54</v>
      </c>
      <c r="U9" s="112">
        <v>79.6</v>
      </c>
      <c r="V9" s="112">
        <v>29.17</v>
      </c>
      <c r="W9" s="112">
        <v>130.02</v>
      </c>
      <c r="X9" s="112">
        <v>89.77</v>
      </c>
      <c r="Y9" s="112">
        <v>63.66</v>
      </c>
      <c r="Z9" s="81">
        <v>2487.91</v>
      </c>
      <c r="AA9" s="82">
        <v>0</v>
      </c>
      <c r="AB9" s="79">
        <f aca="true" t="shared" si="0" ref="AB9:AB18">SUM(U9:AA9)</f>
        <v>2880.13</v>
      </c>
      <c r="AC9" s="113">
        <f aca="true" t="shared" si="1" ref="AC9:AC15">D9+T9+AB9</f>
        <v>4533.21875</v>
      </c>
      <c r="AD9" s="114">
        <f>P9+Z9</f>
        <v>3319.67</v>
      </c>
      <c r="AE9" s="114">
        <f>R9+AA9</f>
        <v>0</v>
      </c>
      <c r="AF9" s="114"/>
      <c r="AG9" s="83">
        <f>0.6*B9*0.9</f>
        <v>199.044</v>
      </c>
      <c r="AH9" s="83">
        <f>B9*0.2*0.9082-0.01</f>
        <v>66.94250400000001</v>
      </c>
      <c r="AI9" s="61">
        <f>0.85*B9*0.8675+0.01</f>
        <v>271.806425</v>
      </c>
      <c r="AJ9" s="83">
        <f>AI9*0.18</f>
        <v>48.9251565</v>
      </c>
      <c r="AK9" s="83">
        <f>0.83*B9*0.838</f>
        <v>256.376044</v>
      </c>
      <c r="AL9" s="83">
        <f>AK9*0.18</f>
        <v>46.147687919999996</v>
      </c>
      <c r="AM9" s="61">
        <f>1.91*B9*0.838</f>
        <v>589.973788</v>
      </c>
      <c r="AN9" s="83">
        <f>AM9*0.18</f>
        <v>106.19528183999999</v>
      </c>
      <c r="AO9" s="83"/>
      <c r="AP9" s="83">
        <f aca="true" t="shared" si="2" ref="AP9:AP18">AO9*0.18</f>
        <v>0</v>
      </c>
      <c r="AQ9" s="115"/>
      <c r="AR9" s="62">
        <f aca="true" t="shared" si="3" ref="AR9:AR18">AQ9*0.18</f>
        <v>0</v>
      </c>
      <c r="AS9" s="116"/>
      <c r="AT9" s="63"/>
      <c r="AU9" s="63">
        <f aca="true" t="shared" si="4" ref="AU9:AU18">(AS9+AT9)*0.18</f>
        <v>0</v>
      </c>
      <c r="AV9" s="117">
        <v>383</v>
      </c>
      <c r="AW9" s="118">
        <v>0</v>
      </c>
      <c r="AX9" s="83">
        <f>AV9*AW9*1.12*1.18</f>
        <v>0</v>
      </c>
      <c r="AY9" s="83"/>
      <c r="AZ9" s="119"/>
      <c r="BA9" s="119">
        <f>AZ9*0.18</f>
        <v>0</v>
      </c>
      <c r="BB9" s="66">
        <f>SUM(AG9:AU9)</f>
        <v>1585.41088726</v>
      </c>
      <c r="BC9" s="120"/>
      <c r="BD9" s="14">
        <f aca="true" t="shared" si="5" ref="BD9:BD15">AC9+AF9-BB9-BC9</f>
        <v>2947.80786274</v>
      </c>
      <c r="BE9" s="16">
        <f aca="true" t="shared" si="6" ref="BE9:BE18">AB9-S9</f>
        <v>-1744.4099999999999</v>
      </c>
    </row>
    <row r="10" spans="1:57" ht="12.75" hidden="1">
      <c r="A10" s="8" t="s">
        <v>47</v>
      </c>
      <c r="B10" s="121">
        <v>368.6</v>
      </c>
      <c r="C10" s="55">
        <f>B10*8.65</f>
        <v>3188.3900000000003</v>
      </c>
      <c r="D10" s="56">
        <f>C10*0.125</f>
        <v>398.54875000000004</v>
      </c>
      <c r="E10" s="57">
        <v>226.54</v>
      </c>
      <c r="F10" s="57">
        <v>85.84</v>
      </c>
      <c r="G10" s="57">
        <v>82.75</v>
      </c>
      <c r="H10" s="57">
        <v>31.13</v>
      </c>
      <c r="I10" s="57">
        <v>370.32</v>
      </c>
      <c r="J10" s="57">
        <v>140.59</v>
      </c>
      <c r="K10" s="57">
        <v>255.31</v>
      </c>
      <c r="L10" s="57">
        <v>96.57</v>
      </c>
      <c r="M10" s="57">
        <v>181.22</v>
      </c>
      <c r="N10" s="57">
        <v>68.68</v>
      </c>
      <c r="O10" s="57">
        <v>4360.59</v>
      </c>
      <c r="P10" s="69">
        <v>1019.72</v>
      </c>
      <c r="Q10" s="57">
        <v>0</v>
      </c>
      <c r="R10" s="69">
        <v>0</v>
      </c>
      <c r="S10" s="49">
        <f>E10+G10+I10+K10+M10+O10+Q10</f>
        <v>5476.73</v>
      </c>
      <c r="T10" s="58">
        <f>P10+N10+L10+J10+H10+F10+R10</f>
        <v>1442.53</v>
      </c>
      <c r="U10" s="49">
        <v>187.34</v>
      </c>
      <c r="V10" s="49">
        <v>68.27</v>
      </c>
      <c r="W10" s="49">
        <v>306.42</v>
      </c>
      <c r="X10" s="49">
        <v>211</v>
      </c>
      <c r="Y10" s="49">
        <v>211</v>
      </c>
      <c r="Z10" s="49">
        <v>1862.82</v>
      </c>
      <c r="AA10" s="49">
        <v>0</v>
      </c>
      <c r="AB10" s="79">
        <f t="shared" si="0"/>
        <v>2846.85</v>
      </c>
      <c r="AC10" s="68">
        <f t="shared" si="1"/>
        <v>4687.92875</v>
      </c>
      <c r="AD10" s="60">
        <f>P10+Z10</f>
        <v>2882.54</v>
      </c>
      <c r="AE10" s="60">
        <f>R10+AA10</f>
        <v>0</v>
      </c>
      <c r="AF10" s="114"/>
      <c r="AG10" s="61">
        <f>0.6*B10*0.9</f>
        <v>199.044</v>
      </c>
      <c r="AH10" s="83">
        <f>B10*0.2*0.9234</f>
        <v>68.07304800000001</v>
      </c>
      <c r="AI10" s="61">
        <f>0.85*B10*0.893</f>
        <v>279.78583000000003</v>
      </c>
      <c r="AJ10" s="61">
        <f>AI10*0.18</f>
        <v>50.361449400000005</v>
      </c>
      <c r="AK10" s="61">
        <f>0.83*B10*0.8498</f>
        <v>259.98611239999997</v>
      </c>
      <c r="AL10" s="61">
        <f>AK10*0.18</f>
        <v>46.79750023199999</v>
      </c>
      <c r="AM10" s="61">
        <f>(1.91)*B10*0.8498</f>
        <v>598.2812948000001</v>
      </c>
      <c r="AN10" s="61">
        <f>AM10*0.18</f>
        <v>107.69063306400001</v>
      </c>
      <c r="AO10" s="61"/>
      <c r="AP10" s="61">
        <f t="shared" si="2"/>
        <v>0</v>
      </c>
      <c r="AQ10" s="62"/>
      <c r="AR10" s="62">
        <f t="shared" si="3"/>
        <v>0</v>
      </c>
      <c r="AS10" s="63">
        <v>0</v>
      </c>
      <c r="AT10" s="63"/>
      <c r="AU10" s="63">
        <f t="shared" si="4"/>
        <v>0</v>
      </c>
      <c r="AV10" s="64">
        <v>307</v>
      </c>
      <c r="AW10" s="122">
        <v>0</v>
      </c>
      <c r="AX10" s="61">
        <f>AV10*AW10*1.12*1.18</f>
        <v>0</v>
      </c>
      <c r="AY10" s="65"/>
      <c r="AZ10" s="66"/>
      <c r="BA10" s="66">
        <f>AZ10*0.18</f>
        <v>0</v>
      </c>
      <c r="BB10" s="66">
        <f>SUM(AG10:BA10)-AV10-AW10</f>
        <v>1610.019867896</v>
      </c>
      <c r="BC10" s="80"/>
      <c r="BD10" s="14">
        <f t="shared" si="5"/>
        <v>3077.908882104</v>
      </c>
      <c r="BE10" s="16">
        <f t="shared" si="6"/>
        <v>-2629.8799999999997</v>
      </c>
    </row>
    <row r="11" spans="1:57" ht="12.75" hidden="1">
      <c r="A11" s="8" t="s">
        <v>48</v>
      </c>
      <c r="B11" s="123">
        <v>368.6</v>
      </c>
      <c r="C11" s="55">
        <f>B11*8.65</f>
        <v>3188.3900000000003</v>
      </c>
      <c r="D11" s="86">
        <f>C11-E11-F11-G11-H11-I11-J11-K11-L11-M11-N11</f>
        <v>1083.320000000001</v>
      </c>
      <c r="E11" s="84">
        <v>243.22</v>
      </c>
      <c r="F11" s="84">
        <v>96.57</v>
      </c>
      <c r="G11" s="84">
        <v>91.24</v>
      </c>
      <c r="H11" s="84">
        <v>36.49</v>
      </c>
      <c r="I11" s="84">
        <v>577.68</v>
      </c>
      <c r="J11" s="84">
        <v>229.63</v>
      </c>
      <c r="K11" s="84">
        <v>399.6</v>
      </c>
      <c r="L11" s="84">
        <v>158.8</v>
      </c>
      <c r="M11" s="84">
        <v>194.58</v>
      </c>
      <c r="N11" s="84">
        <v>77.26</v>
      </c>
      <c r="O11" s="84">
        <v>4856.4</v>
      </c>
      <c r="P11" s="85">
        <v>1141.82</v>
      </c>
      <c r="Q11" s="84">
        <v>0</v>
      </c>
      <c r="R11" s="85">
        <v>0</v>
      </c>
      <c r="S11" s="81">
        <f>E11+G11+I11+K11+M11+O11+Q11</f>
        <v>6362.719999999999</v>
      </c>
      <c r="T11" s="111">
        <f>P11+N11+L11+J11+H11+F11+R11</f>
        <v>1740.5699999999997</v>
      </c>
      <c r="U11" s="112">
        <v>155.7</v>
      </c>
      <c r="V11" s="112">
        <v>56.86</v>
      </c>
      <c r="W11" s="112">
        <v>254.54</v>
      </c>
      <c r="X11" s="112">
        <v>175.45</v>
      </c>
      <c r="Y11" s="112">
        <v>124.55</v>
      </c>
      <c r="Z11" s="81">
        <v>3368.05</v>
      </c>
      <c r="AA11" s="82">
        <v>0</v>
      </c>
      <c r="AB11" s="79">
        <f t="shared" si="0"/>
        <v>4135.15</v>
      </c>
      <c r="AC11" s="68">
        <f t="shared" si="1"/>
        <v>6959.040000000001</v>
      </c>
      <c r="AD11" s="60">
        <f>P11+Z11</f>
        <v>4509.87</v>
      </c>
      <c r="AE11" s="60">
        <f>R11+AA11</f>
        <v>0</v>
      </c>
      <c r="AF11" s="114"/>
      <c r="AG11" s="61">
        <f>0.6*B11</f>
        <v>221.16</v>
      </c>
      <c r="AH11" s="61">
        <f>B11*0.2*1.01</f>
        <v>74.45720000000001</v>
      </c>
      <c r="AI11" s="61">
        <f>0.85*B11</f>
        <v>313.31</v>
      </c>
      <c r="AJ11" s="61">
        <f>AI11*0.18</f>
        <v>56.3958</v>
      </c>
      <c r="AK11" s="61">
        <f>0.83*B11</f>
        <v>305.938</v>
      </c>
      <c r="AL11" s="61">
        <f>AK11*0.18</f>
        <v>55.068839999999994</v>
      </c>
      <c r="AM11" s="61">
        <f>(1.91)*B11</f>
        <v>704.0260000000001</v>
      </c>
      <c r="AN11" s="61">
        <f>AM11*0.18</f>
        <v>126.72468</v>
      </c>
      <c r="AO11" s="61"/>
      <c r="AP11" s="61">
        <f t="shared" si="2"/>
        <v>0</v>
      </c>
      <c r="AQ11" s="62"/>
      <c r="AR11" s="62">
        <f t="shared" si="3"/>
        <v>0</v>
      </c>
      <c r="AS11" s="63"/>
      <c r="AT11" s="63"/>
      <c r="AU11" s="63">
        <f>(AS11+AT11)*0.18</f>
        <v>0</v>
      </c>
      <c r="AV11" s="64">
        <v>263</v>
      </c>
      <c r="AW11" s="124">
        <v>0</v>
      </c>
      <c r="AX11" s="83">
        <f>AV11*AW11*1.12*1.18</f>
        <v>0</v>
      </c>
      <c r="AY11" s="83"/>
      <c r="AZ11" s="119"/>
      <c r="BA11" s="119">
        <f>AZ11*0.18</f>
        <v>0</v>
      </c>
      <c r="BB11" s="119">
        <f>SUM(AG11:BA11)-AV11-AW11</f>
        <v>1857.0805200000004</v>
      </c>
      <c r="BC11" s="80"/>
      <c r="BD11" s="14">
        <f t="shared" si="5"/>
        <v>5101.95948</v>
      </c>
      <c r="BE11" s="16">
        <f t="shared" si="6"/>
        <v>-2227.5699999999997</v>
      </c>
    </row>
    <row r="12" spans="1:57" ht="12.75" hidden="1">
      <c r="A12" s="8" t="s">
        <v>49</v>
      </c>
      <c r="B12" s="123">
        <v>368.6</v>
      </c>
      <c r="C12" s="55">
        <f aca="true" t="shared" si="7" ref="C12:C18">B12*8.65</f>
        <v>3188.3900000000003</v>
      </c>
      <c r="D12" s="86">
        <f aca="true" t="shared" si="8" ref="D12:D18">C12-E12-F12-G12-H12-I12-J12-K12-L12-M12-N12</f>
        <v>1326.050000000001</v>
      </c>
      <c r="E12" s="84">
        <v>243.22</v>
      </c>
      <c r="F12" s="84">
        <v>57.42</v>
      </c>
      <c r="G12" s="84">
        <v>91.24</v>
      </c>
      <c r="H12" s="84">
        <v>21.7</v>
      </c>
      <c r="I12" s="84">
        <v>577.68</v>
      </c>
      <c r="J12" s="84">
        <v>136.54</v>
      </c>
      <c r="K12" s="84">
        <v>399.6</v>
      </c>
      <c r="L12" s="84">
        <v>94.42</v>
      </c>
      <c r="M12" s="84">
        <v>194.58</v>
      </c>
      <c r="N12" s="84">
        <v>45.94</v>
      </c>
      <c r="O12" s="84">
        <v>4856.4</v>
      </c>
      <c r="P12" s="85">
        <v>470.61</v>
      </c>
      <c r="Q12" s="84">
        <v>0</v>
      </c>
      <c r="R12" s="85">
        <v>0</v>
      </c>
      <c r="S12" s="49">
        <f>E12+G12+I12+K12+M12+O12+Q12</f>
        <v>6362.719999999999</v>
      </c>
      <c r="T12" s="58">
        <f aca="true" t="shared" si="9" ref="T12:T18">P12+N12+L12+J12+H12+F12+R12</f>
        <v>826.6299999999999</v>
      </c>
      <c r="U12" s="81">
        <v>76.51</v>
      </c>
      <c r="V12" s="81">
        <v>28.83</v>
      </c>
      <c r="W12" s="81">
        <v>179.14</v>
      </c>
      <c r="X12" s="81">
        <v>123.86</v>
      </c>
      <c r="Y12" s="81">
        <v>61.21</v>
      </c>
      <c r="Z12" s="81">
        <v>1976.15</v>
      </c>
      <c r="AA12" s="82">
        <v>0</v>
      </c>
      <c r="AB12" s="79">
        <f t="shared" si="0"/>
        <v>2445.7000000000003</v>
      </c>
      <c r="AC12" s="68">
        <f t="shared" si="1"/>
        <v>4598.380000000001</v>
      </c>
      <c r="AD12" s="60">
        <f aca="true" t="shared" si="10" ref="AD12:AD18">P12+Z12</f>
        <v>2446.76</v>
      </c>
      <c r="AE12" s="60">
        <f aca="true" t="shared" si="11" ref="AE12:AE18">R12+AA12</f>
        <v>0</v>
      </c>
      <c r="AF12" s="60"/>
      <c r="AG12" s="61">
        <f aca="true" t="shared" si="12" ref="AG12:AG18">0.6*B12</f>
        <v>221.16</v>
      </c>
      <c r="AH12" s="61">
        <f>B12*0.2*1.01045</f>
        <v>74.49037400000002</v>
      </c>
      <c r="AI12" s="61">
        <f>0.85*B12</f>
        <v>313.31</v>
      </c>
      <c r="AJ12" s="61">
        <f aca="true" t="shared" si="13" ref="AJ12:AJ18">AI12*0.18</f>
        <v>56.3958</v>
      </c>
      <c r="AK12" s="61">
        <f>0.83*B12</f>
        <v>305.938</v>
      </c>
      <c r="AL12" s="61">
        <f aca="true" t="shared" si="14" ref="AL12:AL18">AK12*0.18</f>
        <v>55.068839999999994</v>
      </c>
      <c r="AM12" s="61">
        <f>(1.91)*B12</f>
        <v>704.0260000000001</v>
      </c>
      <c r="AN12" s="61">
        <f aca="true" t="shared" si="15" ref="AN12:AN18">AM12*0.18</f>
        <v>126.72468</v>
      </c>
      <c r="AO12" s="61"/>
      <c r="AP12" s="61">
        <f t="shared" si="2"/>
        <v>0</v>
      </c>
      <c r="AQ12" s="62">
        <v>2842.4</v>
      </c>
      <c r="AR12" s="62">
        <f t="shared" si="3"/>
        <v>511.632</v>
      </c>
      <c r="AS12" s="63"/>
      <c r="AT12" s="63"/>
      <c r="AU12" s="63">
        <f t="shared" si="4"/>
        <v>0</v>
      </c>
      <c r="AV12" s="64">
        <v>233</v>
      </c>
      <c r="AW12" s="124">
        <v>0</v>
      </c>
      <c r="AX12" s="61">
        <f aca="true" t="shared" si="16" ref="AX12:AX18">AV12*AW12*1.12*1.18</f>
        <v>0</v>
      </c>
      <c r="AY12" s="65"/>
      <c r="AZ12" s="66"/>
      <c r="BA12" s="66">
        <f aca="true" t="shared" si="17" ref="BA12:BA18">AZ12*0.18</f>
        <v>0</v>
      </c>
      <c r="BB12" s="119">
        <f aca="true" t="shared" si="18" ref="BB12:BB18">SUM(AG12:BA12)-AV12-AW12</f>
        <v>5211.145694</v>
      </c>
      <c r="BC12" s="80"/>
      <c r="BD12" s="14">
        <f t="shared" si="5"/>
        <v>-612.7656939999988</v>
      </c>
      <c r="BE12" s="16">
        <f t="shared" si="6"/>
        <v>-3917.019999999999</v>
      </c>
    </row>
    <row r="13" spans="1:57" ht="12.75" hidden="1">
      <c r="A13" s="8" t="s">
        <v>50</v>
      </c>
      <c r="B13" s="78">
        <v>368.6</v>
      </c>
      <c r="C13" s="55">
        <f t="shared" si="7"/>
        <v>3188.3900000000003</v>
      </c>
      <c r="D13" s="86">
        <f t="shared" si="8"/>
        <v>1326.050000000001</v>
      </c>
      <c r="E13" s="84">
        <v>243.22</v>
      </c>
      <c r="F13" s="84">
        <v>57.42</v>
      </c>
      <c r="G13" s="84">
        <v>91.24</v>
      </c>
      <c r="H13" s="84">
        <v>21.7</v>
      </c>
      <c r="I13" s="84">
        <v>577.68</v>
      </c>
      <c r="J13" s="84">
        <v>136.54</v>
      </c>
      <c r="K13" s="84">
        <v>399.6</v>
      </c>
      <c r="L13" s="84">
        <v>94.42</v>
      </c>
      <c r="M13" s="84">
        <v>194.58</v>
      </c>
      <c r="N13" s="84">
        <v>45.94</v>
      </c>
      <c r="O13" s="84">
        <v>4856.4</v>
      </c>
      <c r="P13" s="85">
        <v>470.61</v>
      </c>
      <c r="Q13" s="84">
        <v>0</v>
      </c>
      <c r="R13" s="85">
        <v>0</v>
      </c>
      <c r="S13" s="49">
        <f aca="true" t="shared" si="19" ref="S13:S18">E13+G13+I13+K13+M13+O13+Q13</f>
        <v>6362.719999999999</v>
      </c>
      <c r="T13" s="58">
        <f t="shared" si="9"/>
        <v>826.6299999999999</v>
      </c>
      <c r="U13" s="81">
        <v>299.58</v>
      </c>
      <c r="V13" s="81">
        <v>111.6</v>
      </c>
      <c r="W13" s="81">
        <v>674.12</v>
      </c>
      <c r="X13" s="81">
        <v>466.32</v>
      </c>
      <c r="Y13" s="81">
        <v>239.68</v>
      </c>
      <c r="Z13" s="81">
        <v>5998.35</v>
      </c>
      <c r="AA13" s="82">
        <v>0</v>
      </c>
      <c r="AB13" s="79">
        <f t="shared" si="0"/>
        <v>7789.650000000001</v>
      </c>
      <c r="AC13" s="68">
        <f t="shared" si="1"/>
        <v>9942.330000000002</v>
      </c>
      <c r="AD13" s="60">
        <f t="shared" si="10"/>
        <v>6468.96</v>
      </c>
      <c r="AE13" s="60">
        <f t="shared" si="11"/>
        <v>0</v>
      </c>
      <c r="AF13" s="60"/>
      <c r="AG13" s="61">
        <f t="shared" si="12"/>
        <v>221.16</v>
      </c>
      <c r="AH13" s="61">
        <f>B13*0.2*0.99425</f>
        <v>73.29611000000001</v>
      </c>
      <c r="AI13" s="61">
        <f>0.85*B13*0.9857</f>
        <v>308.82966700000003</v>
      </c>
      <c r="AJ13" s="61">
        <f t="shared" si="13"/>
        <v>55.589340060000005</v>
      </c>
      <c r="AK13" s="61">
        <f>0.83*B13*0.9905</f>
        <v>303.031589</v>
      </c>
      <c r="AL13" s="61">
        <f t="shared" si="14"/>
        <v>54.54568602</v>
      </c>
      <c r="AM13" s="61">
        <f>(1.91)*B13*0.9904</f>
        <v>697.2673504</v>
      </c>
      <c r="AN13" s="61">
        <f t="shared" si="15"/>
        <v>125.508123072</v>
      </c>
      <c r="AO13" s="61"/>
      <c r="AP13" s="61">
        <f t="shared" si="2"/>
        <v>0</v>
      </c>
      <c r="AQ13" s="62"/>
      <c r="AR13" s="62">
        <f t="shared" si="3"/>
        <v>0</v>
      </c>
      <c r="AS13" s="63"/>
      <c r="AT13" s="63"/>
      <c r="AU13" s="63">
        <f t="shared" si="4"/>
        <v>0</v>
      </c>
      <c r="AV13" s="64">
        <v>248</v>
      </c>
      <c r="AW13" s="124">
        <v>0</v>
      </c>
      <c r="AX13" s="61">
        <f t="shared" si="16"/>
        <v>0</v>
      </c>
      <c r="AY13" s="65"/>
      <c r="AZ13" s="66"/>
      <c r="BA13" s="66">
        <f t="shared" si="17"/>
        <v>0</v>
      </c>
      <c r="BB13" s="119">
        <f t="shared" si="18"/>
        <v>1839.2278655520004</v>
      </c>
      <c r="BC13" s="80"/>
      <c r="BD13" s="14">
        <f t="shared" si="5"/>
        <v>8103.102134448001</v>
      </c>
      <c r="BE13" s="16">
        <f t="shared" si="6"/>
        <v>1426.9300000000012</v>
      </c>
    </row>
    <row r="14" spans="1:57" ht="12.75" hidden="1">
      <c r="A14" s="8" t="s">
        <v>51</v>
      </c>
      <c r="B14" s="54">
        <v>368.6</v>
      </c>
      <c r="C14" s="55">
        <f t="shared" si="7"/>
        <v>3188.3900000000003</v>
      </c>
      <c r="D14" s="86">
        <f t="shared" si="8"/>
        <v>1326.050000000001</v>
      </c>
      <c r="E14" s="84">
        <v>243.22</v>
      </c>
      <c r="F14" s="84">
        <v>57.42</v>
      </c>
      <c r="G14" s="84">
        <v>91.24</v>
      </c>
      <c r="H14" s="84">
        <v>21.7</v>
      </c>
      <c r="I14" s="84">
        <v>577.68</v>
      </c>
      <c r="J14" s="84">
        <v>136.54</v>
      </c>
      <c r="K14" s="84">
        <v>399.6</v>
      </c>
      <c r="L14" s="84">
        <v>94.42</v>
      </c>
      <c r="M14" s="84">
        <v>194.58</v>
      </c>
      <c r="N14" s="84">
        <v>45.94</v>
      </c>
      <c r="O14" s="84">
        <v>4856.4</v>
      </c>
      <c r="P14" s="85">
        <v>470.61</v>
      </c>
      <c r="Q14" s="81">
        <v>0</v>
      </c>
      <c r="R14" s="81">
        <v>0</v>
      </c>
      <c r="S14" s="49">
        <f t="shared" si="19"/>
        <v>6362.719999999999</v>
      </c>
      <c r="T14" s="58">
        <f t="shared" si="9"/>
        <v>826.6299999999999</v>
      </c>
      <c r="U14" s="81">
        <v>184.13</v>
      </c>
      <c r="V14" s="81">
        <v>68.83</v>
      </c>
      <c r="W14" s="81">
        <v>451.68</v>
      </c>
      <c r="X14" s="81">
        <v>312.47</v>
      </c>
      <c r="Y14" s="81">
        <v>147.31</v>
      </c>
      <c r="Z14" s="81">
        <v>4011.01</v>
      </c>
      <c r="AA14" s="82">
        <v>0</v>
      </c>
      <c r="AB14" s="79">
        <f t="shared" si="0"/>
        <v>5175.43</v>
      </c>
      <c r="AC14" s="68">
        <f t="shared" si="1"/>
        <v>7328.1100000000015</v>
      </c>
      <c r="AD14" s="60">
        <f t="shared" si="10"/>
        <v>4481.62</v>
      </c>
      <c r="AE14" s="60">
        <f t="shared" si="11"/>
        <v>0</v>
      </c>
      <c r="AF14" s="60"/>
      <c r="AG14" s="61">
        <f t="shared" si="12"/>
        <v>221.16</v>
      </c>
      <c r="AH14" s="61">
        <f>B14*0.2*0.99875</f>
        <v>73.62785000000001</v>
      </c>
      <c r="AI14" s="61">
        <f>0.85*B14*0.98526</f>
        <v>308.6918106</v>
      </c>
      <c r="AJ14" s="61">
        <f t="shared" si="13"/>
        <v>55.564525908</v>
      </c>
      <c r="AK14" s="61">
        <f>0.83*B14*0.99</f>
        <v>302.87862</v>
      </c>
      <c r="AL14" s="61">
        <f t="shared" si="14"/>
        <v>54.5181516</v>
      </c>
      <c r="AM14" s="61">
        <f>(1.91)*B14*0.99</f>
        <v>696.9857400000001</v>
      </c>
      <c r="AN14" s="61">
        <f t="shared" si="15"/>
        <v>125.45743320000001</v>
      </c>
      <c r="AO14" s="61"/>
      <c r="AP14" s="61">
        <f t="shared" si="2"/>
        <v>0</v>
      </c>
      <c r="AQ14" s="62"/>
      <c r="AR14" s="62">
        <f t="shared" si="3"/>
        <v>0</v>
      </c>
      <c r="AS14" s="63"/>
      <c r="AT14" s="63"/>
      <c r="AU14" s="63">
        <f t="shared" si="4"/>
        <v>0</v>
      </c>
      <c r="AV14" s="64">
        <v>293</v>
      </c>
      <c r="AW14" s="124">
        <v>0</v>
      </c>
      <c r="AX14" s="61">
        <f t="shared" si="16"/>
        <v>0</v>
      </c>
      <c r="AY14" s="65"/>
      <c r="AZ14" s="66"/>
      <c r="BA14" s="66">
        <f t="shared" si="17"/>
        <v>0</v>
      </c>
      <c r="BB14" s="119">
        <f t="shared" si="18"/>
        <v>1838.8841313080002</v>
      </c>
      <c r="BC14" s="80"/>
      <c r="BD14" s="14">
        <f t="shared" si="5"/>
        <v>5489.225868692001</v>
      </c>
      <c r="BE14" s="16">
        <f t="shared" si="6"/>
        <v>-1187.289999999999</v>
      </c>
    </row>
    <row r="15" spans="1:57" ht="12.75" hidden="1">
      <c r="A15" s="8" t="s">
        <v>52</v>
      </c>
      <c r="B15" s="54">
        <v>368.6</v>
      </c>
      <c r="C15" s="55">
        <f t="shared" si="7"/>
        <v>3188.3900000000003</v>
      </c>
      <c r="D15" s="86">
        <f t="shared" si="8"/>
        <v>1326.050000000001</v>
      </c>
      <c r="E15" s="57">
        <v>243.22</v>
      </c>
      <c r="F15" s="57">
        <v>57.42</v>
      </c>
      <c r="G15" s="57">
        <v>91.24</v>
      </c>
      <c r="H15" s="57">
        <v>21.7</v>
      </c>
      <c r="I15" s="57">
        <v>577.68</v>
      </c>
      <c r="J15" s="57">
        <v>136.54</v>
      </c>
      <c r="K15" s="57">
        <v>399.6</v>
      </c>
      <c r="L15" s="57">
        <v>94.42</v>
      </c>
      <c r="M15" s="57">
        <v>194.58</v>
      </c>
      <c r="N15" s="57">
        <v>45.94</v>
      </c>
      <c r="O15" s="57">
        <v>4856.4</v>
      </c>
      <c r="P15" s="69">
        <v>470.61</v>
      </c>
      <c r="Q15" s="57">
        <v>0</v>
      </c>
      <c r="R15" s="69">
        <v>0</v>
      </c>
      <c r="S15" s="49">
        <f t="shared" si="19"/>
        <v>6362.719999999999</v>
      </c>
      <c r="T15" s="58">
        <f t="shared" si="9"/>
        <v>826.6299999999999</v>
      </c>
      <c r="U15" s="49">
        <v>152.77</v>
      </c>
      <c r="V15" s="49">
        <v>57.02</v>
      </c>
      <c r="W15" s="49">
        <v>328.07</v>
      </c>
      <c r="X15" s="49">
        <v>226.74</v>
      </c>
      <c r="Y15" s="49">
        <v>122.2</v>
      </c>
      <c r="Z15" s="49">
        <v>2744.68</v>
      </c>
      <c r="AA15" s="59">
        <v>0</v>
      </c>
      <c r="AB15" s="79">
        <f t="shared" si="0"/>
        <v>3631.48</v>
      </c>
      <c r="AC15" s="68">
        <f t="shared" si="1"/>
        <v>5784.160000000002</v>
      </c>
      <c r="AD15" s="60">
        <f t="shared" si="10"/>
        <v>3215.29</v>
      </c>
      <c r="AE15" s="60">
        <f t="shared" si="11"/>
        <v>0</v>
      </c>
      <c r="AF15" s="60"/>
      <c r="AG15" s="61">
        <f t="shared" si="12"/>
        <v>221.16</v>
      </c>
      <c r="AH15" s="61">
        <f>B15*0.2*0.9997</f>
        <v>73.69788400000002</v>
      </c>
      <c r="AI15" s="61">
        <f>0.85*B15*0.98509</f>
        <v>308.6385479</v>
      </c>
      <c r="AJ15" s="61">
        <f t="shared" si="13"/>
        <v>55.554938621999995</v>
      </c>
      <c r="AK15" s="61">
        <f>0.83*B15*0.98981</f>
        <v>302.82049178</v>
      </c>
      <c r="AL15" s="61">
        <f t="shared" si="14"/>
        <v>54.507688520399995</v>
      </c>
      <c r="AM15" s="61">
        <f>(1.91)*B15*0.98981</f>
        <v>696.8519750600001</v>
      </c>
      <c r="AN15" s="61">
        <f t="shared" si="15"/>
        <v>125.43335551080001</v>
      </c>
      <c r="AO15" s="61"/>
      <c r="AP15" s="61">
        <f t="shared" si="2"/>
        <v>0</v>
      </c>
      <c r="AQ15" s="62">
        <v>2926</v>
      </c>
      <c r="AR15" s="62">
        <f t="shared" si="3"/>
        <v>526.68</v>
      </c>
      <c r="AS15" s="63">
        <v>5367.46</v>
      </c>
      <c r="AT15" s="63"/>
      <c r="AU15" s="63">
        <f t="shared" si="4"/>
        <v>966.1428</v>
      </c>
      <c r="AV15" s="64">
        <v>349</v>
      </c>
      <c r="AW15" s="124">
        <v>0</v>
      </c>
      <c r="AX15" s="61">
        <f t="shared" si="16"/>
        <v>0</v>
      </c>
      <c r="AY15" s="65"/>
      <c r="AZ15" s="66"/>
      <c r="BA15" s="66">
        <f t="shared" si="17"/>
        <v>0</v>
      </c>
      <c r="BB15" s="119">
        <f t="shared" si="18"/>
        <v>11624.9476813932</v>
      </c>
      <c r="BC15" s="80"/>
      <c r="BD15" s="14">
        <f t="shared" si="5"/>
        <v>-5840.787681393198</v>
      </c>
      <c r="BE15" s="16">
        <f t="shared" si="6"/>
        <v>-2731.2399999999993</v>
      </c>
    </row>
    <row r="16" spans="1:57" ht="12.75" hidden="1">
      <c r="A16" s="8" t="s">
        <v>40</v>
      </c>
      <c r="B16" s="54">
        <v>368.6</v>
      </c>
      <c r="C16" s="87">
        <f t="shared" si="7"/>
        <v>3188.3900000000003</v>
      </c>
      <c r="D16" s="86">
        <f t="shared" si="8"/>
        <v>1083.3200000000004</v>
      </c>
      <c r="E16" s="88">
        <f>262.79+19.57</f>
        <v>282.36</v>
      </c>
      <c r="F16" s="49">
        <v>57.43</v>
      </c>
      <c r="G16" s="49">
        <f>98.63+7.39</f>
        <v>106.02</v>
      </c>
      <c r="H16" s="49">
        <v>21.71</v>
      </c>
      <c r="I16" s="49">
        <f>624.22+46.54</f>
        <v>670.76</v>
      </c>
      <c r="J16" s="49">
        <v>136.55</v>
      </c>
      <c r="K16" s="49">
        <f>431.79+32.19</f>
        <v>463.98</v>
      </c>
      <c r="L16" s="49">
        <v>94.42</v>
      </c>
      <c r="M16" s="49">
        <f>210.24+15.66</f>
        <v>225.9</v>
      </c>
      <c r="N16" s="49">
        <v>45.94</v>
      </c>
      <c r="O16" s="49">
        <f>5373.31+516.91</f>
        <v>5890.22</v>
      </c>
      <c r="P16" s="59">
        <v>108</v>
      </c>
      <c r="Q16" s="49">
        <v>0</v>
      </c>
      <c r="R16" s="49">
        <v>0</v>
      </c>
      <c r="S16" s="49">
        <f t="shared" si="19"/>
        <v>7639.24</v>
      </c>
      <c r="T16" s="58">
        <f t="shared" si="9"/>
        <v>464.05</v>
      </c>
      <c r="U16" s="89">
        <f>38.51+43.14</f>
        <v>81.65</v>
      </c>
      <c r="V16" s="49">
        <f>14.54+16.41</f>
        <v>30.95</v>
      </c>
      <c r="W16" s="49">
        <f>91.56+104.87</f>
        <v>196.43</v>
      </c>
      <c r="X16" s="49">
        <f>63.32+72.51</f>
        <v>135.83</v>
      </c>
      <c r="Y16" s="49">
        <f>30.81+34.51</f>
        <v>65.32</v>
      </c>
      <c r="Z16" s="49">
        <v>1810.79</v>
      </c>
      <c r="AA16" s="59">
        <v>0</v>
      </c>
      <c r="AB16" s="59">
        <f t="shared" si="0"/>
        <v>2320.97</v>
      </c>
      <c r="AC16" s="68">
        <f>AB16+T16+D16</f>
        <v>3868.34</v>
      </c>
      <c r="AD16" s="60">
        <f t="shared" si="10"/>
        <v>1918.79</v>
      </c>
      <c r="AE16" s="60">
        <f t="shared" si="11"/>
        <v>0</v>
      </c>
      <c r="AF16" s="60"/>
      <c r="AG16" s="61">
        <f t="shared" si="12"/>
        <v>221.16</v>
      </c>
      <c r="AH16" s="61">
        <f>B16*0.2</f>
        <v>73.72000000000001</v>
      </c>
      <c r="AI16" s="61">
        <f>0.847*B16</f>
        <v>312.2042</v>
      </c>
      <c r="AJ16" s="61">
        <f t="shared" si="13"/>
        <v>56.196756</v>
      </c>
      <c r="AK16" s="61">
        <f>0.83*B16</f>
        <v>305.938</v>
      </c>
      <c r="AL16" s="61">
        <f t="shared" si="14"/>
        <v>55.068839999999994</v>
      </c>
      <c r="AM16" s="61">
        <f>(2.25/1.18)*B16</f>
        <v>702.8389830508476</v>
      </c>
      <c r="AN16" s="61">
        <f t="shared" si="15"/>
        <v>126.51101694915256</v>
      </c>
      <c r="AO16" s="61"/>
      <c r="AP16" s="61">
        <f t="shared" si="2"/>
        <v>0</v>
      </c>
      <c r="AQ16" s="62"/>
      <c r="AR16" s="62">
        <f t="shared" si="3"/>
        <v>0</v>
      </c>
      <c r="AS16" s="63">
        <v>0</v>
      </c>
      <c r="AT16" s="63"/>
      <c r="AU16" s="63">
        <f t="shared" si="4"/>
        <v>0</v>
      </c>
      <c r="AV16" s="64">
        <v>425</v>
      </c>
      <c r="AW16" s="122">
        <v>0</v>
      </c>
      <c r="AX16" s="61">
        <f t="shared" si="16"/>
        <v>0</v>
      </c>
      <c r="AY16" s="65"/>
      <c r="AZ16" s="125"/>
      <c r="BA16" s="66">
        <f t="shared" si="17"/>
        <v>0</v>
      </c>
      <c r="BB16" s="119">
        <f t="shared" si="18"/>
        <v>1853.637796</v>
      </c>
      <c r="BC16" s="80"/>
      <c r="BD16" s="14">
        <f>AC16+AF16-BB16-BC16</f>
        <v>2014.7022040000002</v>
      </c>
      <c r="BE16" s="16">
        <f t="shared" si="6"/>
        <v>-5318.27</v>
      </c>
    </row>
    <row r="17" spans="1:57" ht="12.75" hidden="1">
      <c r="A17" s="8" t="s">
        <v>41</v>
      </c>
      <c r="B17" s="78">
        <v>368.6</v>
      </c>
      <c r="C17" s="87">
        <f t="shared" si="7"/>
        <v>3188.3900000000003</v>
      </c>
      <c r="D17" s="86">
        <f t="shared" si="8"/>
        <v>1083.3200000000008</v>
      </c>
      <c r="E17" s="57">
        <v>262.79</v>
      </c>
      <c r="F17" s="57">
        <v>77</v>
      </c>
      <c r="G17" s="57">
        <v>98.63</v>
      </c>
      <c r="H17" s="57">
        <v>29.1</v>
      </c>
      <c r="I17" s="57">
        <v>624.22</v>
      </c>
      <c r="J17" s="57">
        <v>183.09</v>
      </c>
      <c r="K17" s="57">
        <v>431.79</v>
      </c>
      <c r="L17" s="57">
        <v>126.61</v>
      </c>
      <c r="M17" s="57">
        <v>210.24</v>
      </c>
      <c r="N17" s="57">
        <v>61.6</v>
      </c>
      <c r="O17" s="57">
        <v>5373.31</v>
      </c>
      <c r="P17" s="69">
        <v>624.91</v>
      </c>
      <c r="Q17" s="59">
        <v>0</v>
      </c>
      <c r="R17" s="59">
        <v>0</v>
      </c>
      <c r="S17" s="49">
        <f t="shared" si="19"/>
        <v>7000.9800000000005</v>
      </c>
      <c r="T17" s="58">
        <f t="shared" si="9"/>
        <v>1102.31</v>
      </c>
      <c r="U17" s="49">
        <v>74.33</v>
      </c>
      <c r="V17" s="49">
        <v>28.12</v>
      </c>
      <c r="W17" s="49">
        <v>177.74</v>
      </c>
      <c r="X17" s="49">
        <v>122.93</v>
      </c>
      <c r="Y17" s="49">
        <v>59.46</v>
      </c>
      <c r="Z17" s="49">
        <f>5373.31+624.91</f>
        <v>5998.22</v>
      </c>
      <c r="AA17" s="59">
        <v>0</v>
      </c>
      <c r="AB17" s="59">
        <f t="shared" si="0"/>
        <v>6460.8</v>
      </c>
      <c r="AC17" s="68">
        <f>D17+T17+AB17</f>
        <v>8646.43</v>
      </c>
      <c r="AD17" s="60">
        <f t="shared" si="10"/>
        <v>6623.13</v>
      </c>
      <c r="AE17" s="60">
        <f t="shared" si="11"/>
        <v>0</v>
      </c>
      <c r="AF17" s="60"/>
      <c r="AG17" s="61">
        <f t="shared" si="12"/>
        <v>221.16</v>
      </c>
      <c r="AH17" s="61">
        <f>B17*0.2</f>
        <v>73.72000000000001</v>
      </c>
      <c r="AI17" s="61">
        <f>0.85*B17</f>
        <v>313.31</v>
      </c>
      <c r="AJ17" s="61">
        <f t="shared" si="13"/>
        <v>56.3958</v>
      </c>
      <c r="AK17" s="61">
        <f>0.83*B17</f>
        <v>305.938</v>
      </c>
      <c r="AL17" s="61">
        <f t="shared" si="14"/>
        <v>55.068839999999994</v>
      </c>
      <c r="AM17" s="61">
        <f>(1.91)*B17</f>
        <v>704.0260000000001</v>
      </c>
      <c r="AN17" s="61">
        <f t="shared" si="15"/>
        <v>126.72468</v>
      </c>
      <c r="AO17" s="61"/>
      <c r="AP17" s="61">
        <f t="shared" si="2"/>
        <v>0</v>
      </c>
      <c r="AQ17" s="62"/>
      <c r="AR17" s="62">
        <f t="shared" si="3"/>
        <v>0</v>
      </c>
      <c r="AS17" s="63">
        <v>0</v>
      </c>
      <c r="AT17" s="63"/>
      <c r="AU17" s="63">
        <f t="shared" si="4"/>
        <v>0</v>
      </c>
      <c r="AV17" s="64">
        <v>470</v>
      </c>
      <c r="AW17" s="122">
        <v>0</v>
      </c>
      <c r="AX17" s="61">
        <f t="shared" si="16"/>
        <v>0</v>
      </c>
      <c r="AY17" s="65"/>
      <c r="AZ17" s="66"/>
      <c r="BA17" s="66">
        <f t="shared" si="17"/>
        <v>0</v>
      </c>
      <c r="BB17" s="119">
        <f t="shared" si="18"/>
        <v>1856.34332</v>
      </c>
      <c r="BC17" s="67"/>
      <c r="BD17" s="14">
        <f>AC17+AF17-BB17-BC17</f>
        <v>6790.08668</v>
      </c>
      <c r="BE17" s="16">
        <f t="shared" si="6"/>
        <v>-540.1800000000003</v>
      </c>
    </row>
    <row r="18" spans="1:57" ht="12.75" hidden="1">
      <c r="A18" s="8" t="s">
        <v>42</v>
      </c>
      <c r="B18" s="54">
        <v>368.6</v>
      </c>
      <c r="C18" s="87">
        <f t="shared" si="7"/>
        <v>3188.3900000000003</v>
      </c>
      <c r="D18" s="86">
        <f t="shared" si="8"/>
        <v>1083.3200000000008</v>
      </c>
      <c r="E18" s="57">
        <v>262.79</v>
      </c>
      <c r="F18" s="57">
        <v>77</v>
      </c>
      <c r="G18" s="57">
        <v>98.63</v>
      </c>
      <c r="H18" s="57">
        <v>29.1</v>
      </c>
      <c r="I18" s="57">
        <v>624.22</v>
      </c>
      <c r="J18" s="57">
        <v>183.09</v>
      </c>
      <c r="K18" s="57">
        <v>431.79</v>
      </c>
      <c r="L18" s="57">
        <v>126.61</v>
      </c>
      <c r="M18" s="57">
        <v>210.24</v>
      </c>
      <c r="N18" s="57">
        <v>61.6</v>
      </c>
      <c r="O18" s="57">
        <v>0</v>
      </c>
      <c r="P18" s="69">
        <v>0</v>
      </c>
      <c r="Q18" s="69"/>
      <c r="R18" s="69"/>
      <c r="S18" s="49">
        <f t="shared" si="19"/>
        <v>1627.67</v>
      </c>
      <c r="T18" s="58">
        <f t="shared" si="9"/>
        <v>477.40000000000003</v>
      </c>
      <c r="U18" s="49">
        <v>161.28</v>
      </c>
      <c r="V18" s="49">
        <v>61.03</v>
      </c>
      <c r="W18" s="49">
        <v>386.3</v>
      </c>
      <c r="X18" s="49">
        <v>267.18</v>
      </c>
      <c r="Y18" s="49">
        <v>129.01</v>
      </c>
      <c r="Z18" s="49">
        <v>0</v>
      </c>
      <c r="AA18" s="59">
        <v>0</v>
      </c>
      <c r="AB18" s="59">
        <f t="shared" si="0"/>
        <v>1004.8</v>
      </c>
      <c r="AC18" s="68">
        <f>D18+T18+AB18</f>
        <v>2565.520000000001</v>
      </c>
      <c r="AD18" s="60">
        <f t="shared" si="10"/>
        <v>0</v>
      </c>
      <c r="AE18" s="60">
        <f t="shared" si="11"/>
        <v>0</v>
      </c>
      <c r="AF18" s="60"/>
      <c r="AG18" s="61">
        <f t="shared" si="12"/>
        <v>221.16</v>
      </c>
      <c r="AH18" s="61">
        <f>B18*0.2</f>
        <v>73.72000000000001</v>
      </c>
      <c r="AI18" s="61">
        <f>0.85*B18</f>
        <v>313.31</v>
      </c>
      <c r="AJ18" s="61">
        <f t="shared" si="13"/>
        <v>56.3958</v>
      </c>
      <c r="AK18" s="61">
        <f>0.83*B18</f>
        <v>305.938</v>
      </c>
      <c r="AL18" s="61">
        <f t="shared" si="14"/>
        <v>55.068839999999994</v>
      </c>
      <c r="AM18" s="61">
        <f>(1.91)*B18</f>
        <v>704.0260000000001</v>
      </c>
      <c r="AN18" s="61">
        <f t="shared" si="15"/>
        <v>126.72468</v>
      </c>
      <c r="AO18" s="61"/>
      <c r="AP18" s="61">
        <f t="shared" si="2"/>
        <v>0</v>
      </c>
      <c r="AQ18" s="62"/>
      <c r="AR18" s="62">
        <f t="shared" si="3"/>
        <v>0</v>
      </c>
      <c r="AS18" s="63">
        <v>0</v>
      </c>
      <c r="AT18" s="63"/>
      <c r="AU18" s="63">
        <f t="shared" si="4"/>
        <v>0</v>
      </c>
      <c r="AV18" s="64">
        <v>514</v>
      </c>
      <c r="AW18" s="122">
        <v>0</v>
      </c>
      <c r="AX18" s="61">
        <f t="shared" si="16"/>
        <v>0</v>
      </c>
      <c r="AY18" s="65"/>
      <c r="AZ18" s="66"/>
      <c r="BA18" s="66">
        <f t="shared" si="17"/>
        <v>0</v>
      </c>
      <c r="BB18" s="119">
        <f t="shared" si="18"/>
        <v>1856.34332</v>
      </c>
      <c r="BC18" s="67"/>
      <c r="BD18" s="14">
        <f>AC18+AF18-BB18-BC18</f>
        <v>709.1766800000009</v>
      </c>
      <c r="BE18" s="16">
        <f t="shared" si="6"/>
        <v>-622.8700000000001</v>
      </c>
    </row>
    <row r="19" spans="1:57" s="17" customFormat="1" ht="12.75" hidden="1">
      <c r="A19" s="70" t="s">
        <v>5</v>
      </c>
      <c r="B19" s="71"/>
      <c r="C19" s="71">
        <f aca="true" t="shared" si="20" ref="C19:AU19">SUM(C9:C18)</f>
        <v>31883.899999999998</v>
      </c>
      <c r="D19" s="71">
        <f t="shared" si="20"/>
        <v>10434.577500000009</v>
      </c>
      <c r="E19" s="72">
        <f t="shared" si="20"/>
        <v>2440.85</v>
      </c>
      <c r="F19" s="72">
        <f t="shared" si="20"/>
        <v>709.36</v>
      </c>
      <c r="G19" s="72">
        <f t="shared" si="20"/>
        <v>911.78</v>
      </c>
      <c r="H19" s="72">
        <f t="shared" si="20"/>
        <v>265.46</v>
      </c>
      <c r="I19" s="72">
        <f t="shared" si="20"/>
        <v>5488.91</v>
      </c>
      <c r="J19" s="72">
        <f t="shared" si="20"/>
        <v>1559.6699999999996</v>
      </c>
      <c r="K19" s="72">
        <f t="shared" si="20"/>
        <v>3795.33</v>
      </c>
      <c r="L19" s="72">
        <f t="shared" si="20"/>
        <v>1077.2599999999998</v>
      </c>
      <c r="M19" s="72">
        <f t="shared" si="20"/>
        <v>1952.71</v>
      </c>
      <c r="N19" s="72">
        <f t="shared" si="20"/>
        <v>567.52</v>
      </c>
      <c r="O19" s="72">
        <f t="shared" si="20"/>
        <v>43593.18</v>
      </c>
      <c r="P19" s="72">
        <f t="shared" si="20"/>
        <v>5608.65</v>
      </c>
      <c r="Q19" s="72">
        <f t="shared" si="20"/>
        <v>0</v>
      </c>
      <c r="R19" s="72">
        <f t="shared" si="20"/>
        <v>0</v>
      </c>
      <c r="S19" s="72">
        <f t="shared" si="20"/>
        <v>58182.76</v>
      </c>
      <c r="T19" s="72">
        <f t="shared" si="20"/>
        <v>9787.919999999998</v>
      </c>
      <c r="U19" s="73">
        <f t="shared" si="20"/>
        <v>1452.89</v>
      </c>
      <c r="V19" s="73">
        <f t="shared" si="20"/>
        <v>540.68</v>
      </c>
      <c r="W19" s="73">
        <f t="shared" si="20"/>
        <v>3084.46</v>
      </c>
      <c r="X19" s="73">
        <f t="shared" si="20"/>
        <v>2131.5499999999997</v>
      </c>
      <c r="Y19" s="73">
        <f t="shared" si="20"/>
        <v>1223.3999999999999</v>
      </c>
      <c r="Z19" s="73">
        <f t="shared" si="20"/>
        <v>30257.980000000003</v>
      </c>
      <c r="AA19" s="73">
        <f t="shared" si="20"/>
        <v>0</v>
      </c>
      <c r="AB19" s="73">
        <f t="shared" si="20"/>
        <v>38690.96000000001</v>
      </c>
      <c r="AC19" s="73">
        <f t="shared" si="20"/>
        <v>58913.45750000001</v>
      </c>
      <c r="AD19" s="73">
        <f t="shared" si="20"/>
        <v>35866.63</v>
      </c>
      <c r="AE19" s="74">
        <f t="shared" si="20"/>
        <v>0</v>
      </c>
      <c r="AF19" s="74">
        <f t="shared" si="20"/>
        <v>0</v>
      </c>
      <c r="AG19" s="75">
        <f t="shared" si="20"/>
        <v>2167.3680000000004</v>
      </c>
      <c r="AH19" s="75">
        <f t="shared" si="20"/>
        <v>725.7449700000002</v>
      </c>
      <c r="AI19" s="75">
        <f t="shared" si="20"/>
        <v>3043.1964805</v>
      </c>
      <c r="AJ19" s="75">
        <f t="shared" si="20"/>
        <v>547.77536649</v>
      </c>
      <c r="AK19" s="75">
        <f t="shared" si="20"/>
        <v>2954.78285718</v>
      </c>
      <c r="AL19" s="75">
        <f t="shared" si="20"/>
        <v>531.8609142924</v>
      </c>
      <c r="AM19" s="75">
        <f t="shared" si="20"/>
        <v>6798.303131310848</v>
      </c>
      <c r="AN19" s="75">
        <f t="shared" si="20"/>
        <v>1223.6945636359526</v>
      </c>
      <c r="AO19" s="75">
        <f t="shared" si="20"/>
        <v>0</v>
      </c>
      <c r="AP19" s="75">
        <f t="shared" si="20"/>
        <v>0</v>
      </c>
      <c r="AQ19" s="75">
        <f t="shared" si="20"/>
        <v>5768.4</v>
      </c>
      <c r="AR19" s="75">
        <f t="shared" si="20"/>
        <v>1038.312</v>
      </c>
      <c r="AS19" s="75">
        <f t="shared" si="20"/>
        <v>5367.46</v>
      </c>
      <c r="AT19" s="75">
        <f t="shared" si="20"/>
        <v>0</v>
      </c>
      <c r="AU19" s="75">
        <f t="shared" si="20"/>
        <v>966.1428</v>
      </c>
      <c r="AV19" s="75"/>
      <c r="AW19" s="75"/>
      <c r="AX19" s="75">
        <f aca="true" t="shared" si="21" ref="AX19:BE19">SUM(AX9:AX18)</f>
        <v>0</v>
      </c>
      <c r="AY19" s="75">
        <f t="shared" si="21"/>
        <v>0</v>
      </c>
      <c r="AZ19" s="75">
        <f t="shared" si="21"/>
        <v>0</v>
      </c>
      <c r="BA19" s="75">
        <f t="shared" si="21"/>
        <v>0</v>
      </c>
      <c r="BB19" s="75">
        <f t="shared" si="21"/>
        <v>31133.0410834092</v>
      </c>
      <c r="BC19" s="75">
        <f t="shared" si="21"/>
        <v>0</v>
      </c>
      <c r="BD19" s="75">
        <f t="shared" si="21"/>
        <v>27780.416416590808</v>
      </c>
      <c r="BE19" s="76">
        <f t="shared" si="21"/>
        <v>-19491.799999999996</v>
      </c>
    </row>
    <row r="20" spans="1:57" ht="15" customHeight="1" hidden="1">
      <c r="A20" s="5" t="s">
        <v>70</v>
      </c>
      <c r="B20" s="9"/>
      <c r="C20" s="10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8"/>
      <c r="V20" s="18"/>
      <c r="W20" s="18"/>
      <c r="X20" s="18"/>
      <c r="Y20" s="18"/>
      <c r="Z20" s="18"/>
      <c r="AA20" s="13"/>
      <c r="AB20" s="13"/>
      <c r="AC20" s="77"/>
      <c r="AD20" s="77"/>
      <c r="AE20" s="47"/>
      <c r="AF20" s="47"/>
      <c r="AG20" s="14"/>
      <c r="AH20" s="14"/>
      <c r="AI20" s="14"/>
      <c r="AJ20" s="14"/>
      <c r="AK20" s="14"/>
      <c r="AL20" s="14"/>
      <c r="AM20" s="14"/>
      <c r="AN20" s="14"/>
      <c r="AO20" s="15"/>
      <c r="AP20" s="15"/>
      <c r="AQ20" s="15"/>
      <c r="AR20" s="15"/>
      <c r="AS20" s="46"/>
      <c r="AT20" s="46"/>
      <c r="AU20" s="19"/>
      <c r="AV20" s="19"/>
      <c r="AW20" s="19"/>
      <c r="AX20" s="15"/>
      <c r="AY20" s="15"/>
      <c r="AZ20" s="15"/>
      <c r="BA20" s="14"/>
      <c r="BB20" s="14"/>
      <c r="BC20" s="14"/>
      <c r="BD20" s="14"/>
      <c r="BE20" s="16"/>
    </row>
    <row r="21" spans="1:57" ht="12.75" hidden="1">
      <c r="A21" s="8" t="s">
        <v>44</v>
      </c>
      <c r="B21" s="54">
        <v>368.6</v>
      </c>
      <c r="C21" s="87">
        <f aca="true" t="shared" si="22" ref="C21:C32">B21*8.65</f>
        <v>3188.3900000000003</v>
      </c>
      <c r="D21" s="86">
        <f aca="true" t="shared" si="23" ref="D21:D32">C21-E21-F21-G21-H21-I21-J21-K21-L21-M21-N21</f>
        <v>1083.3100000000002</v>
      </c>
      <c r="E21" s="57">
        <v>262.79</v>
      </c>
      <c r="F21" s="57">
        <v>77</v>
      </c>
      <c r="G21" s="57">
        <v>98.63</v>
      </c>
      <c r="H21" s="57">
        <v>29.1</v>
      </c>
      <c r="I21" s="57">
        <v>624.24</v>
      </c>
      <c r="J21" s="57">
        <v>183.08</v>
      </c>
      <c r="K21" s="57">
        <v>431.78</v>
      </c>
      <c r="L21" s="57">
        <v>126.62</v>
      </c>
      <c r="M21" s="57">
        <v>210.24</v>
      </c>
      <c r="N21" s="57">
        <v>61.6</v>
      </c>
      <c r="O21" s="57">
        <v>0</v>
      </c>
      <c r="P21" s="69">
        <v>0</v>
      </c>
      <c r="Q21" s="69"/>
      <c r="R21" s="69"/>
      <c r="S21" s="49">
        <f aca="true" t="shared" si="24" ref="S21:S32">E21+G21+I21+K21+M21+O21+Q21</f>
        <v>1627.68</v>
      </c>
      <c r="T21" s="58">
        <f aca="true" t="shared" si="25" ref="T21:T32">P21+N21+L21+J21+H21+F21+R21</f>
        <v>477.40000000000003</v>
      </c>
      <c r="U21" s="49">
        <v>75.66</v>
      </c>
      <c r="V21" s="49">
        <v>28.02</v>
      </c>
      <c r="W21" s="49">
        <v>179.3</v>
      </c>
      <c r="X21" s="49">
        <v>124.06</v>
      </c>
      <c r="Y21" s="49">
        <v>60.53</v>
      </c>
      <c r="Z21" s="49">
        <v>0</v>
      </c>
      <c r="AA21" s="59">
        <v>0</v>
      </c>
      <c r="AB21" s="59">
        <f>SUM(U21:AA21)</f>
        <v>467.57000000000005</v>
      </c>
      <c r="AC21" s="68">
        <f aca="true" t="shared" si="26" ref="AC21:AC32">D21+T21+AB21</f>
        <v>2028.2800000000002</v>
      </c>
      <c r="AD21" s="60">
        <f aca="true" t="shared" si="27" ref="AD21:AD32">P21+Z21</f>
        <v>0</v>
      </c>
      <c r="AE21" s="60">
        <f aca="true" t="shared" si="28" ref="AE21:AE32">R21+AA21</f>
        <v>0</v>
      </c>
      <c r="AF21" s="60"/>
      <c r="AG21" s="61">
        <f aca="true" t="shared" si="29" ref="AG21:AG32">0.6*B21</f>
        <v>221.16</v>
      </c>
      <c r="AH21" s="61">
        <f aca="true" t="shared" si="30" ref="AH21:AH32">B21*0.2</f>
        <v>73.72000000000001</v>
      </c>
      <c r="AI21" s="61">
        <f aca="true" t="shared" si="31" ref="AI21:AI32">1*B21</f>
        <v>368.6</v>
      </c>
      <c r="AJ21" s="61">
        <v>0</v>
      </c>
      <c r="AK21" s="61">
        <f aca="true" t="shared" si="32" ref="AK21:AK32">0.98*B21</f>
        <v>361.228</v>
      </c>
      <c r="AL21" s="61">
        <v>0</v>
      </c>
      <c r="AM21" s="61">
        <f aca="true" t="shared" si="33" ref="AM21:AM32">2.25*B21</f>
        <v>829.35</v>
      </c>
      <c r="AN21" s="61">
        <v>0</v>
      </c>
      <c r="AO21" s="61"/>
      <c r="AP21" s="61">
        <v>0</v>
      </c>
      <c r="AQ21" s="62"/>
      <c r="AR21" s="62"/>
      <c r="AS21" s="63">
        <v>0</v>
      </c>
      <c r="AT21" s="63"/>
      <c r="AU21" s="63">
        <f aca="true" t="shared" si="34" ref="AU21:AU32">AT21*0.18</f>
        <v>0</v>
      </c>
      <c r="AV21" s="64">
        <v>508</v>
      </c>
      <c r="AW21" s="122">
        <v>0.15</v>
      </c>
      <c r="AX21" s="61">
        <f aca="true" t="shared" si="35" ref="AX21:AX32">AV21*AW21*1.4</f>
        <v>106.67999999999999</v>
      </c>
      <c r="AY21" s="65"/>
      <c r="AZ21" s="66"/>
      <c r="BA21" s="66">
        <f aca="true" t="shared" si="36" ref="BA21:BA32">AZ21*0.18</f>
        <v>0</v>
      </c>
      <c r="BB21" s="66">
        <f aca="true" t="shared" si="37" ref="BB21:BB32">SUM(AG21:BA21)-AV21-AW21</f>
        <v>1960.7379999999998</v>
      </c>
      <c r="BC21" s="67"/>
      <c r="BD21" s="14">
        <f>AC21+AF21-BB21-BC21</f>
        <v>67.54200000000037</v>
      </c>
      <c r="BE21" s="16">
        <f>AB21-S21</f>
        <v>-1160.1100000000001</v>
      </c>
    </row>
    <row r="22" spans="1:57" ht="12.75" hidden="1">
      <c r="A22" s="8" t="s">
        <v>45</v>
      </c>
      <c r="B22" s="78">
        <v>368.6</v>
      </c>
      <c r="C22" s="87">
        <f t="shared" si="22"/>
        <v>3188.3900000000003</v>
      </c>
      <c r="D22" s="86">
        <f t="shared" si="23"/>
        <v>1083.3200000000008</v>
      </c>
      <c r="E22" s="126">
        <v>262.79</v>
      </c>
      <c r="F22" s="127">
        <v>77</v>
      </c>
      <c r="G22" s="127">
        <v>98.63</v>
      </c>
      <c r="H22" s="127">
        <v>29.1</v>
      </c>
      <c r="I22" s="127">
        <v>624.22</v>
      </c>
      <c r="J22" s="127">
        <v>183.09</v>
      </c>
      <c r="K22" s="127">
        <v>431.79</v>
      </c>
      <c r="L22" s="127">
        <v>126.61</v>
      </c>
      <c r="M22" s="127">
        <v>210.24</v>
      </c>
      <c r="N22" s="127">
        <v>61.6</v>
      </c>
      <c r="O22" s="127">
        <v>0</v>
      </c>
      <c r="P22" s="128">
        <v>0</v>
      </c>
      <c r="Q22" s="128">
        <v>0</v>
      </c>
      <c r="R22" s="128">
        <v>0</v>
      </c>
      <c r="S22" s="49">
        <f t="shared" si="24"/>
        <v>1627.67</v>
      </c>
      <c r="T22" s="58">
        <f t="shared" si="25"/>
        <v>477.40000000000003</v>
      </c>
      <c r="U22" s="49">
        <v>314.06</v>
      </c>
      <c r="V22" s="49">
        <v>117.33</v>
      </c>
      <c r="W22" s="49">
        <v>698.04</v>
      </c>
      <c r="X22" s="49">
        <v>482.53</v>
      </c>
      <c r="Y22" s="49">
        <v>251.25</v>
      </c>
      <c r="Z22" s="49">
        <v>0</v>
      </c>
      <c r="AA22" s="59">
        <v>0</v>
      </c>
      <c r="AB22" s="59">
        <f>SUM(U22:AA22)</f>
        <v>1863.2099999999998</v>
      </c>
      <c r="AC22" s="68">
        <f t="shared" si="26"/>
        <v>3423.9300000000007</v>
      </c>
      <c r="AD22" s="60">
        <f t="shared" si="27"/>
        <v>0</v>
      </c>
      <c r="AE22" s="60">
        <f t="shared" si="28"/>
        <v>0</v>
      </c>
      <c r="AF22" s="60"/>
      <c r="AG22" s="61">
        <f t="shared" si="29"/>
        <v>221.16</v>
      </c>
      <c r="AH22" s="61">
        <f t="shared" si="30"/>
        <v>73.72000000000001</v>
      </c>
      <c r="AI22" s="61">
        <f t="shared" si="31"/>
        <v>368.6</v>
      </c>
      <c r="AJ22" s="61">
        <v>0</v>
      </c>
      <c r="AK22" s="61">
        <f t="shared" si="32"/>
        <v>361.228</v>
      </c>
      <c r="AL22" s="61">
        <v>0</v>
      </c>
      <c r="AM22" s="61">
        <f t="shared" si="33"/>
        <v>829.35</v>
      </c>
      <c r="AN22" s="61">
        <v>0</v>
      </c>
      <c r="AO22" s="61"/>
      <c r="AP22" s="61"/>
      <c r="AQ22" s="62"/>
      <c r="AR22" s="62"/>
      <c r="AS22" s="63"/>
      <c r="AT22" s="63"/>
      <c r="AU22" s="63">
        <f t="shared" si="34"/>
        <v>0</v>
      </c>
      <c r="AV22" s="64">
        <v>407</v>
      </c>
      <c r="AW22" s="122">
        <v>0.15</v>
      </c>
      <c r="AX22" s="61">
        <f t="shared" si="35"/>
        <v>85.46999999999998</v>
      </c>
      <c r="AY22" s="65"/>
      <c r="AZ22" s="66"/>
      <c r="BA22" s="66">
        <f t="shared" si="36"/>
        <v>0</v>
      </c>
      <c r="BB22" s="66">
        <f t="shared" si="37"/>
        <v>1939.5279999999998</v>
      </c>
      <c r="BC22" s="67"/>
      <c r="BD22" s="14">
        <f aca="true" t="shared" si="38" ref="BD22:BD32">AC22+AF22-BB22-BC22</f>
        <v>1484.402000000001</v>
      </c>
      <c r="BE22" s="16">
        <f aca="true" t="shared" si="39" ref="BE22:BE32">AB22-S22</f>
        <v>235.53999999999974</v>
      </c>
    </row>
    <row r="23" spans="1:57" ht="12.75" hidden="1">
      <c r="A23" s="8" t="s">
        <v>46</v>
      </c>
      <c r="B23" s="54">
        <v>368.6</v>
      </c>
      <c r="C23" s="87">
        <f t="shared" si="22"/>
        <v>3188.3900000000003</v>
      </c>
      <c r="D23" s="86">
        <f t="shared" si="23"/>
        <v>1083.3200000000008</v>
      </c>
      <c r="E23" s="57">
        <v>262.79</v>
      </c>
      <c r="F23" s="57">
        <v>77</v>
      </c>
      <c r="G23" s="57">
        <v>98.63</v>
      </c>
      <c r="H23" s="57">
        <v>29.1</v>
      </c>
      <c r="I23" s="57">
        <v>624.22</v>
      </c>
      <c r="J23" s="57">
        <v>183.09</v>
      </c>
      <c r="K23" s="57">
        <v>431.79</v>
      </c>
      <c r="L23" s="57">
        <v>126.61</v>
      </c>
      <c r="M23" s="57">
        <v>210.24</v>
      </c>
      <c r="N23" s="57">
        <v>61.6</v>
      </c>
      <c r="O23" s="57">
        <v>0</v>
      </c>
      <c r="P23" s="69">
        <v>0</v>
      </c>
      <c r="Q23" s="69">
        <v>0</v>
      </c>
      <c r="R23" s="69">
        <v>0</v>
      </c>
      <c r="S23" s="49">
        <f t="shared" si="24"/>
        <v>1627.67</v>
      </c>
      <c r="T23" s="58">
        <f t="shared" si="25"/>
        <v>477.40000000000003</v>
      </c>
      <c r="U23" s="49">
        <v>94.65</v>
      </c>
      <c r="V23" s="49">
        <v>35.07</v>
      </c>
      <c r="W23" s="49">
        <v>224.36</v>
      </c>
      <c r="X23" s="49">
        <v>155.24</v>
      </c>
      <c r="Y23" s="49">
        <v>75.72</v>
      </c>
      <c r="Z23" s="49">
        <v>0.31</v>
      </c>
      <c r="AA23" s="59">
        <v>0</v>
      </c>
      <c r="AB23" s="59">
        <f>SUM(U23:AA23)</f>
        <v>585.35</v>
      </c>
      <c r="AC23" s="68">
        <f t="shared" si="26"/>
        <v>2146.070000000001</v>
      </c>
      <c r="AD23" s="60">
        <f t="shared" si="27"/>
        <v>0.31</v>
      </c>
      <c r="AE23" s="60">
        <f t="shared" si="28"/>
        <v>0</v>
      </c>
      <c r="AF23" s="60"/>
      <c r="AG23" s="61">
        <f t="shared" si="29"/>
        <v>221.16</v>
      </c>
      <c r="AH23" s="61">
        <f t="shared" si="30"/>
        <v>73.72000000000001</v>
      </c>
      <c r="AI23" s="61">
        <f t="shared" si="31"/>
        <v>368.6</v>
      </c>
      <c r="AJ23" s="61">
        <v>0</v>
      </c>
      <c r="AK23" s="61">
        <f t="shared" si="32"/>
        <v>361.228</v>
      </c>
      <c r="AL23" s="61">
        <v>0</v>
      </c>
      <c r="AM23" s="61">
        <f t="shared" si="33"/>
        <v>829.35</v>
      </c>
      <c r="AN23" s="61">
        <v>0</v>
      </c>
      <c r="AO23" s="61"/>
      <c r="AP23" s="61"/>
      <c r="AQ23" s="62"/>
      <c r="AR23" s="62"/>
      <c r="AS23" s="63"/>
      <c r="AT23" s="63"/>
      <c r="AU23" s="63">
        <f t="shared" si="34"/>
        <v>0</v>
      </c>
      <c r="AV23" s="64">
        <v>383</v>
      </c>
      <c r="AW23" s="122">
        <v>0.15</v>
      </c>
      <c r="AX23" s="61">
        <f t="shared" si="35"/>
        <v>80.42999999999999</v>
      </c>
      <c r="AY23" s="65"/>
      <c r="AZ23" s="66"/>
      <c r="BA23" s="66">
        <f t="shared" si="36"/>
        <v>0</v>
      </c>
      <c r="BB23" s="66">
        <f t="shared" si="37"/>
        <v>1934.4879999999998</v>
      </c>
      <c r="BC23" s="67"/>
      <c r="BD23" s="14">
        <f t="shared" si="38"/>
        <v>211.58200000000124</v>
      </c>
      <c r="BE23" s="16">
        <f t="shared" si="39"/>
        <v>-1042.3200000000002</v>
      </c>
    </row>
    <row r="24" spans="1:57" ht="12.75" hidden="1">
      <c r="A24" s="8" t="s">
        <v>47</v>
      </c>
      <c r="B24" s="54">
        <v>368.6</v>
      </c>
      <c r="C24" s="87">
        <f t="shared" si="22"/>
        <v>3188.3900000000003</v>
      </c>
      <c r="D24" s="86">
        <f t="shared" si="23"/>
        <v>1086.0600000000013</v>
      </c>
      <c r="E24" s="57">
        <v>262.33</v>
      </c>
      <c r="F24" s="57">
        <v>77</v>
      </c>
      <c r="G24" s="57">
        <v>98.49</v>
      </c>
      <c r="H24" s="57">
        <v>29.1</v>
      </c>
      <c r="I24" s="57">
        <v>623.18</v>
      </c>
      <c r="J24" s="57">
        <v>183.09</v>
      </c>
      <c r="K24" s="57">
        <v>431.06</v>
      </c>
      <c r="L24" s="57">
        <v>126.61</v>
      </c>
      <c r="M24" s="57">
        <v>209.87</v>
      </c>
      <c r="N24" s="57">
        <v>61.6</v>
      </c>
      <c r="O24" s="57">
        <v>0</v>
      </c>
      <c r="P24" s="69">
        <v>0</v>
      </c>
      <c r="Q24" s="69"/>
      <c r="R24" s="69"/>
      <c r="S24" s="49">
        <f t="shared" si="24"/>
        <v>1624.9299999999998</v>
      </c>
      <c r="T24" s="58">
        <f t="shared" si="25"/>
        <v>477.40000000000003</v>
      </c>
      <c r="U24" s="49">
        <v>187.34</v>
      </c>
      <c r="V24" s="49">
        <v>68.27</v>
      </c>
      <c r="W24" s="49">
        <v>306.42</v>
      </c>
      <c r="X24" s="49">
        <v>211</v>
      </c>
      <c r="Y24" s="49">
        <v>211</v>
      </c>
      <c r="Z24" s="49">
        <v>1862.82</v>
      </c>
      <c r="AA24" s="59">
        <v>0</v>
      </c>
      <c r="AB24" s="59">
        <f>SUM(U24:AA24)</f>
        <v>2846.85</v>
      </c>
      <c r="AC24" s="68">
        <f t="shared" si="26"/>
        <v>4410.310000000001</v>
      </c>
      <c r="AD24" s="60">
        <f t="shared" si="27"/>
        <v>1862.82</v>
      </c>
      <c r="AE24" s="60">
        <f t="shared" si="28"/>
        <v>0</v>
      </c>
      <c r="AF24" s="60"/>
      <c r="AG24" s="61">
        <f t="shared" si="29"/>
        <v>221.16</v>
      </c>
      <c r="AH24" s="61">
        <f t="shared" si="30"/>
        <v>73.72000000000001</v>
      </c>
      <c r="AI24" s="61">
        <f t="shared" si="31"/>
        <v>368.6</v>
      </c>
      <c r="AJ24" s="61">
        <v>0</v>
      </c>
      <c r="AK24" s="61">
        <f t="shared" si="32"/>
        <v>361.228</v>
      </c>
      <c r="AL24" s="61">
        <v>0</v>
      </c>
      <c r="AM24" s="61">
        <f t="shared" si="33"/>
        <v>829.35</v>
      </c>
      <c r="AN24" s="61">
        <v>0</v>
      </c>
      <c r="AO24" s="61"/>
      <c r="AP24" s="61"/>
      <c r="AQ24" s="62"/>
      <c r="AR24" s="62"/>
      <c r="AS24" s="63"/>
      <c r="AT24" s="63"/>
      <c r="AU24" s="63">
        <f t="shared" si="34"/>
        <v>0</v>
      </c>
      <c r="AV24" s="64">
        <v>307</v>
      </c>
      <c r="AW24" s="122">
        <v>0.15</v>
      </c>
      <c r="AX24" s="61">
        <f t="shared" si="35"/>
        <v>64.47</v>
      </c>
      <c r="AY24" s="65"/>
      <c r="AZ24" s="66"/>
      <c r="BA24" s="66">
        <f t="shared" si="36"/>
        <v>0</v>
      </c>
      <c r="BB24" s="66">
        <f t="shared" si="37"/>
        <v>1918.5279999999998</v>
      </c>
      <c r="BC24" s="67"/>
      <c r="BD24" s="14">
        <f t="shared" si="38"/>
        <v>2491.7820000000015</v>
      </c>
      <c r="BE24" s="16">
        <f t="shared" si="39"/>
        <v>1221.92</v>
      </c>
    </row>
    <row r="25" spans="1:57" ht="12.75" hidden="1">
      <c r="A25" s="8" t="s">
        <v>48</v>
      </c>
      <c r="B25" s="54">
        <v>368.6</v>
      </c>
      <c r="C25" s="87">
        <f t="shared" si="22"/>
        <v>3188.3900000000003</v>
      </c>
      <c r="D25" s="86">
        <f t="shared" si="23"/>
        <v>1090.7800000000002</v>
      </c>
      <c r="E25" s="57">
        <v>261.55</v>
      </c>
      <c r="F25" s="57">
        <v>77</v>
      </c>
      <c r="G25" s="57">
        <v>98.26</v>
      </c>
      <c r="H25" s="57">
        <v>29.1</v>
      </c>
      <c r="I25" s="57">
        <v>621.36</v>
      </c>
      <c r="J25" s="57">
        <v>183.09</v>
      </c>
      <c r="K25" s="57">
        <v>429.8</v>
      </c>
      <c r="L25" s="57">
        <v>126.61</v>
      </c>
      <c r="M25" s="57">
        <v>209.24</v>
      </c>
      <c r="N25" s="57">
        <v>61.6</v>
      </c>
      <c r="O25" s="57">
        <v>0</v>
      </c>
      <c r="P25" s="69">
        <v>0</v>
      </c>
      <c r="Q25" s="69"/>
      <c r="R25" s="69"/>
      <c r="S25" s="49">
        <f t="shared" si="24"/>
        <v>1620.21</v>
      </c>
      <c r="T25" s="58">
        <f t="shared" si="25"/>
        <v>477.40000000000003</v>
      </c>
      <c r="U25" s="100">
        <v>192.33</v>
      </c>
      <c r="V25" s="100">
        <v>72.32</v>
      </c>
      <c r="W25" s="100">
        <v>456.99</v>
      </c>
      <c r="X25" s="100">
        <v>316.1</v>
      </c>
      <c r="Y25" s="100">
        <v>153.86</v>
      </c>
      <c r="Z25" s="100">
        <v>0</v>
      </c>
      <c r="AA25" s="101">
        <v>0</v>
      </c>
      <c r="AB25" s="59">
        <f aca="true" t="shared" si="40" ref="AB25:AB32">SUM(U25:AA25)</f>
        <v>1191.6</v>
      </c>
      <c r="AC25" s="68">
        <f t="shared" si="26"/>
        <v>2759.78</v>
      </c>
      <c r="AD25" s="60">
        <f t="shared" si="27"/>
        <v>0</v>
      </c>
      <c r="AE25" s="60">
        <f t="shared" si="28"/>
        <v>0</v>
      </c>
      <c r="AF25" s="60"/>
      <c r="AG25" s="61">
        <f t="shared" si="29"/>
        <v>221.16</v>
      </c>
      <c r="AH25" s="61">
        <f t="shared" si="30"/>
        <v>73.72000000000001</v>
      </c>
      <c r="AI25" s="61">
        <f t="shared" si="31"/>
        <v>368.6</v>
      </c>
      <c r="AJ25" s="61">
        <v>0</v>
      </c>
      <c r="AK25" s="61">
        <f t="shared" si="32"/>
        <v>361.228</v>
      </c>
      <c r="AL25" s="61">
        <v>0</v>
      </c>
      <c r="AM25" s="61">
        <f t="shared" si="33"/>
        <v>829.35</v>
      </c>
      <c r="AN25" s="61">
        <v>0</v>
      </c>
      <c r="AO25" s="61"/>
      <c r="AP25" s="61"/>
      <c r="AQ25" s="62"/>
      <c r="AR25" s="62"/>
      <c r="AS25" s="63"/>
      <c r="AT25" s="63"/>
      <c r="AU25" s="63">
        <f t="shared" si="34"/>
        <v>0</v>
      </c>
      <c r="AV25" s="64">
        <v>263</v>
      </c>
      <c r="AW25" s="122">
        <v>0.15</v>
      </c>
      <c r="AX25" s="61">
        <f t="shared" si="35"/>
        <v>55.22999999999999</v>
      </c>
      <c r="AY25" s="65"/>
      <c r="AZ25" s="66"/>
      <c r="BA25" s="66">
        <f t="shared" si="36"/>
        <v>0</v>
      </c>
      <c r="BB25" s="66">
        <f t="shared" si="37"/>
        <v>1909.288</v>
      </c>
      <c r="BC25" s="67"/>
      <c r="BD25" s="14">
        <f t="shared" si="38"/>
        <v>850.4920000000002</v>
      </c>
      <c r="BE25" s="16">
        <f t="shared" si="39"/>
        <v>-428.6100000000001</v>
      </c>
    </row>
    <row r="26" spans="1:57" ht="12.75" hidden="1">
      <c r="A26" s="8" t="s">
        <v>49</v>
      </c>
      <c r="B26" s="54">
        <v>368.6</v>
      </c>
      <c r="C26" s="87">
        <f t="shared" si="22"/>
        <v>3188.3900000000003</v>
      </c>
      <c r="D26" s="86">
        <f t="shared" si="23"/>
        <v>1090.7600000000004</v>
      </c>
      <c r="E26" s="57">
        <v>261.55</v>
      </c>
      <c r="F26" s="57">
        <v>77</v>
      </c>
      <c r="G26" s="57">
        <v>98.26</v>
      </c>
      <c r="H26" s="57">
        <v>29.1</v>
      </c>
      <c r="I26" s="57">
        <v>621.37</v>
      </c>
      <c r="J26" s="57">
        <v>183.09</v>
      </c>
      <c r="K26" s="57">
        <v>429.8</v>
      </c>
      <c r="L26" s="57">
        <v>126.61</v>
      </c>
      <c r="M26" s="57">
        <v>209.25</v>
      </c>
      <c r="N26" s="57">
        <v>61.6</v>
      </c>
      <c r="O26" s="57">
        <v>0</v>
      </c>
      <c r="P26" s="69">
        <v>0</v>
      </c>
      <c r="Q26" s="57">
        <v>0</v>
      </c>
      <c r="R26" s="69">
        <v>0</v>
      </c>
      <c r="S26" s="49">
        <f t="shared" si="24"/>
        <v>1620.23</v>
      </c>
      <c r="T26" s="58">
        <f t="shared" si="25"/>
        <v>477.40000000000003</v>
      </c>
      <c r="U26" s="49">
        <v>17.59</v>
      </c>
      <c r="V26" s="49">
        <v>6.63</v>
      </c>
      <c r="W26" s="49">
        <v>41.81</v>
      </c>
      <c r="X26" s="49">
        <v>28.92</v>
      </c>
      <c r="Y26" s="49">
        <v>14.07</v>
      </c>
      <c r="Z26" s="49">
        <v>0</v>
      </c>
      <c r="AA26" s="59">
        <v>0</v>
      </c>
      <c r="AB26" s="59">
        <f t="shared" si="40"/>
        <v>109.02000000000001</v>
      </c>
      <c r="AC26" s="68">
        <f t="shared" si="26"/>
        <v>1677.1800000000005</v>
      </c>
      <c r="AD26" s="60">
        <f t="shared" si="27"/>
        <v>0</v>
      </c>
      <c r="AE26" s="60">
        <f t="shared" si="28"/>
        <v>0</v>
      </c>
      <c r="AF26" s="60"/>
      <c r="AG26" s="61">
        <f t="shared" si="29"/>
        <v>221.16</v>
      </c>
      <c r="AH26" s="61">
        <f t="shared" si="30"/>
        <v>73.72000000000001</v>
      </c>
      <c r="AI26" s="61">
        <f t="shared" si="31"/>
        <v>368.6</v>
      </c>
      <c r="AJ26" s="61">
        <v>0</v>
      </c>
      <c r="AK26" s="61">
        <f t="shared" si="32"/>
        <v>361.228</v>
      </c>
      <c r="AL26" s="61">
        <v>0</v>
      </c>
      <c r="AM26" s="61">
        <f t="shared" si="33"/>
        <v>829.35</v>
      </c>
      <c r="AN26" s="61">
        <v>0</v>
      </c>
      <c r="AO26" s="61"/>
      <c r="AP26" s="61"/>
      <c r="AQ26" s="62"/>
      <c r="AR26" s="62"/>
      <c r="AS26" s="63"/>
      <c r="AT26" s="63"/>
      <c r="AU26" s="63">
        <f t="shared" si="34"/>
        <v>0</v>
      </c>
      <c r="AV26" s="64">
        <v>-6268</v>
      </c>
      <c r="AW26" s="122">
        <v>0.15</v>
      </c>
      <c r="AX26" s="61">
        <f t="shared" si="35"/>
        <v>-1316.2799999999997</v>
      </c>
      <c r="AY26" s="65"/>
      <c r="AZ26" s="66"/>
      <c r="BA26" s="66">
        <f t="shared" si="36"/>
        <v>0</v>
      </c>
      <c r="BB26" s="66">
        <f t="shared" si="37"/>
        <v>537.7779999999999</v>
      </c>
      <c r="BC26" s="67"/>
      <c r="BD26" s="14">
        <f t="shared" si="38"/>
        <v>1139.4020000000005</v>
      </c>
      <c r="BE26" s="16">
        <f t="shared" si="39"/>
        <v>-1511.21</v>
      </c>
    </row>
    <row r="27" spans="1:57" ht="12.75" hidden="1">
      <c r="A27" s="8" t="s">
        <v>50</v>
      </c>
      <c r="B27" s="54">
        <v>368.6</v>
      </c>
      <c r="C27" s="87">
        <f t="shared" si="22"/>
        <v>3188.3900000000003</v>
      </c>
      <c r="D27" s="86">
        <f t="shared" si="23"/>
        <v>1090.7600000000002</v>
      </c>
      <c r="E27" s="99">
        <v>338.55</v>
      </c>
      <c r="F27" s="57">
        <v>0</v>
      </c>
      <c r="G27" s="57">
        <v>127.36</v>
      </c>
      <c r="H27" s="57">
        <v>0</v>
      </c>
      <c r="I27" s="57">
        <v>804.46</v>
      </c>
      <c r="J27" s="57">
        <v>0</v>
      </c>
      <c r="K27" s="57">
        <v>556.41</v>
      </c>
      <c r="L27" s="57">
        <v>0</v>
      </c>
      <c r="M27" s="57">
        <v>270.85</v>
      </c>
      <c r="N27" s="57">
        <v>0</v>
      </c>
      <c r="O27" s="57">
        <v>0</v>
      </c>
      <c r="P27" s="69">
        <v>0</v>
      </c>
      <c r="Q27" s="69"/>
      <c r="R27" s="69"/>
      <c r="S27" s="49">
        <f t="shared" si="24"/>
        <v>2097.63</v>
      </c>
      <c r="T27" s="58">
        <f t="shared" si="25"/>
        <v>0</v>
      </c>
      <c r="U27" s="88">
        <v>33.42</v>
      </c>
      <c r="V27" s="49">
        <v>12.61</v>
      </c>
      <c r="W27" s="49">
        <v>79.39</v>
      </c>
      <c r="X27" s="49">
        <v>55</v>
      </c>
      <c r="Y27" s="49">
        <v>26.74</v>
      </c>
      <c r="Z27" s="49">
        <v>0</v>
      </c>
      <c r="AA27" s="59">
        <v>0</v>
      </c>
      <c r="AB27" s="59">
        <f t="shared" si="40"/>
        <v>207.16000000000003</v>
      </c>
      <c r="AC27" s="68">
        <f t="shared" si="26"/>
        <v>1297.9200000000003</v>
      </c>
      <c r="AD27" s="60">
        <f t="shared" si="27"/>
        <v>0</v>
      </c>
      <c r="AE27" s="60">
        <f t="shared" si="28"/>
        <v>0</v>
      </c>
      <c r="AF27" s="60"/>
      <c r="AG27" s="61">
        <f t="shared" si="29"/>
        <v>221.16</v>
      </c>
      <c r="AH27" s="61">
        <f t="shared" si="30"/>
        <v>73.72000000000001</v>
      </c>
      <c r="AI27" s="61">
        <f t="shared" si="31"/>
        <v>368.6</v>
      </c>
      <c r="AJ27" s="61">
        <v>0</v>
      </c>
      <c r="AK27" s="61">
        <f t="shared" si="32"/>
        <v>361.228</v>
      </c>
      <c r="AL27" s="61">
        <v>0</v>
      </c>
      <c r="AM27" s="61">
        <f t="shared" si="33"/>
        <v>829.35</v>
      </c>
      <c r="AN27" s="61">
        <v>0</v>
      </c>
      <c r="AO27" s="61"/>
      <c r="AP27" s="61"/>
      <c r="AQ27" s="62"/>
      <c r="AR27" s="62"/>
      <c r="AS27" s="63"/>
      <c r="AT27" s="63"/>
      <c r="AU27" s="63">
        <f t="shared" si="34"/>
        <v>0</v>
      </c>
      <c r="AV27" s="64">
        <v>248</v>
      </c>
      <c r="AW27" s="122">
        <v>0</v>
      </c>
      <c r="AX27" s="61">
        <f t="shared" si="35"/>
        <v>0</v>
      </c>
      <c r="AY27" s="65"/>
      <c r="AZ27" s="66"/>
      <c r="BA27" s="66">
        <f t="shared" si="36"/>
        <v>0</v>
      </c>
      <c r="BB27" s="66">
        <f t="shared" si="37"/>
        <v>1854.058</v>
      </c>
      <c r="BC27" s="67"/>
      <c r="BD27" s="14">
        <f t="shared" si="38"/>
        <v>-556.1379999999997</v>
      </c>
      <c r="BE27" s="16">
        <f t="shared" si="39"/>
        <v>-1890.47</v>
      </c>
    </row>
    <row r="28" spans="1:57" ht="12.75" hidden="1">
      <c r="A28" s="8" t="s">
        <v>51</v>
      </c>
      <c r="B28" s="54">
        <v>368.6</v>
      </c>
      <c r="C28" s="87">
        <f t="shared" si="22"/>
        <v>3188.3900000000003</v>
      </c>
      <c r="D28" s="86">
        <f t="shared" si="23"/>
        <v>1090.7600000000002</v>
      </c>
      <c r="E28" s="99">
        <v>338.55</v>
      </c>
      <c r="F28" s="57">
        <v>0</v>
      </c>
      <c r="G28" s="57">
        <v>127.36</v>
      </c>
      <c r="H28" s="57">
        <v>0</v>
      </c>
      <c r="I28" s="57">
        <v>804.46</v>
      </c>
      <c r="J28" s="57">
        <v>0</v>
      </c>
      <c r="K28" s="57">
        <v>556.41</v>
      </c>
      <c r="L28" s="57">
        <v>0</v>
      </c>
      <c r="M28" s="57">
        <v>270.85</v>
      </c>
      <c r="N28" s="57">
        <v>0</v>
      </c>
      <c r="O28" s="57">
        <v>0</v>
      </c>
      <c r="P28" s="69">
        <v>0</v>
      </c>
      <c r="Q28" s="69"/>
      <c r="R28" s="69"/>
      <c r="S28" s="49">
        <f t="shared" si="24"/>
        <v>2097.63</v>
      </c>
      <c r="T28" s="58">
        <f t="shared" si="25"/>
        <v>0</v>
      </c>
      <c r="U28" s="100">
        <v>277.93</v>
      </c>
      <c r="V28" s="100">
        <v>103.98</v>
      </c>
      <c r="W28" s="100">
        <v>659.86</v>
      </c>
      <c r="X28" s="100">
        <v>456.44</v>
      </c>
      <c r="Y28" s="100">
        <v>222.38</v>
      </c>
      <c r="Z28" s="100">
        <v>0</v>
      </c>
      <c r="AA28" s="101">
        <v>0</v>
      </c>
      <c r="AB28" s="59">
        <f t="shared" si="40"/>
        <v>1720.5900000000001</v>
      </c>
      <c r="AC28" s="68">
        <f t="shared" si="26"/>
        <v>2811.3500000000004</v>
      </c>
      <c r="AD28" s="60">
        <f t="shared" si="27"/>
        <v>0</v>
      </c>
      <c r="AE28" s="60">
        <f t="shared" si="28"/>
        <v>0</v>
      </c>
      <c r="AF28" s="60"/>
      <c r="AG28" s="61">
        <f t="shared" si="29"/>
        <v>221.16</v>
      </c>
      <c r="AH28" s="61">
        <f t="shared" si="30"/>
        <v>73.72000000000001</v>
      </c>
      <c r="AI28" s="61">
        <f t="shared" si="31"/>
        <v>368.6</v>
      </c>
      <c r="AJ28" s="61">
        <v>0</v>
      </c>
      <c r="AK28" s="61">
        <f t="shared" si="32"/>
        <v>361.228</v>
      </c>
      <c r="AL28" s="61">
        <v>0</v>
      </c>
      <c r="AM28" s="61">
        <f t="shared" si="33"/>
        <v>829.35</v>
      </c>
      <c r="AN28" s="61">
        <v>0</v>
      </c>
      <c r="AO28" s="61"/>
      <c r="AP28" s="61"/>
      <c r="AQ28" s="62"/>
      <c r="AR28" s="62"/>
      <c r="AS28" s="63"/>
      <c r="AT28" s="63">
        <f>47.8</f>
        <v>47.8</v>
      </c>
      <c r="AU28" s="63"/>
      <c r="AV28" s="64">
        <v>293</v>
      </c>
      <c r="AW28" s="122">
        <v>0</v>
      </c>
      <c r="AX28" s="61">
        <f t="shared" si="35"/>
        <v>0</v>
      </c>
      <c r="AY28" s="65"/>
      <c r="AZ28" s="66"/>
      <c r="BA28" s="66">
        <f t="shared" si="36"/>
        <v>0</v>
      </c>
      <c r="BB28" s="66">
        <f t="shared" si="37"/>
        <v>1901.8580000000002</v>
      </c>
      <c r="BC28" s="67"/>
      <c r="BD28" s="14">
        <f t="shared" si="38"/>
        <v>909.4920000000002</v>
      </c>
      <c r="BE28" s="16">
        <f t="shared" si="39"/>
        <v>-377.03999999999996</v>
      </c>
    </row>
    <row r="29" spans="1:57" ht="12.75" hidden="1">
      <c r="A29" s="8" t="s">
        <v>52</v>
      </c>
      <c r="B29" s="54">
        <v>368.6</v>
      </c>
      <c r="C29" s="87">
        <f t="shared" si="22"/>
        <v>3188.3900000000003</v>
      </c>
      <c r="D29" s="86">
        <f t="shared" si="23"/>
        <v>1090.7600000000002</v>
      </c>
      <c r="E29" s="57">
        <v>338.55</v>
      </c>
      <c r="F29" s="57">
        <v>0</v>
      </c>
      <c r="G29" s="57">
        <v>127.36</v>
      </c>
      <c r="H29" s="57">
        <v>0</v>
      </c>
      <c r="I29" s="57">
        <v>804.46</v>
      </c>
      <c r="J29" s="57">
        <v>0</v>
      </c>
      <c r="K29" s="57">
        <v>556.41</v>
      </c>
      <c r="L29" s="57">
        <v>0</v>
      </c>
      <c r="M29" s="57">
        <v>270.85</v>
      </c>
      <c r="N29" s="57">
        <v>0</v>
      </c>
      <c r="O29" s="57">
        <v>0</v>
      </c>
      <c r="P29" s="69">
        <v>0</v>
      </c>
      <c r="Q29" s="69"/>
      <c r="R29" s="69"/>
      <c r="S29" s="49">
        <f t="shared" si="24"/>
        <v>2097.63</v>
      </c>
      <c r="T29" s="58">
        <f t="shared" si="25"/>
        <v>0</v>
      </c>
      <c r="U29" s="49">
        <v>351.19</v>
      </c>
      <c r="V29" s="49">
        <v>132.42</v>
      </c>
      <c r="W29" s="49">
        <v>834.82</v>
      </c>
      <c r="X29" s="49">
        <v>577.35</v>
      </c>
      <c r="Y29" s="49">
        <v>280.96</v>
      </c>
      <c r="Z29" s="49">
        <v>0</v>
      </c>
      <c r="AA29" s="59">
        <v>0</v>
      </c>
      <c r="AB29" s="59">
        <f t="shared" si="40"/>
        <v>2176.7400000000002</v>
      </c>
      <c r="AC29" s="68">
        <f t="shared" si="26"/>
        <v>3267.5000000000005</v>
      </c>
      <c r="AD29" s="60">
        <f t="shared" si="27"/>
        <v>0</v>
      </c>
      <c r="AE29" s="60">
        <f t="shared" si="28"/>
        <v>0</v>
      </c>
      <c r="AF29" s="60"/>
      <c r="AG29" s="61">
        <f t="shared" si="29"/>
        <v>221.16</v>
      </c>
      <c r="AH29" s="61">
        <f t="shared" si="30"/>
        <v>73.72000000000001</v>
      </c>
      <c r="AI29" s="61">
        <f t="shared" si="31"/>
        <v>368.6</v>
      </c>
      <c r="AJ29" s="61">
        <v>0</v>
      </c>
      <c r="AK29" s="61">
        <f t="shared" si="32"/>
        <v>361.228</v>
      </c>
      <c r="AL29" s="61">
        <v>0</v>
      </c>
      <c r="AM29" s="61">
        <f t="shared" si="33"/>
        <v>829.35</v>
      </c>
      <c r="AN29" s="61">
        <v>0</v>
      </c>
      <c r="AO29" s="61"/>
      <c r="AP29" s="61"/>
      <c r="AQ29" s="62"/>
      <c r="AR29" s="62"/>
      <c r="AS29" s="63"/>
      <c r="AT29" s="63"/>
      <c r="AU29" s="102">
        <f t="shared" si="34"/>
        <v>0</v>
      </c>
      <c r="AV29" s="64">
        <v>349</v>
      </c>
      <c r="AW29" s="122">
        <v>0</v>
      </c>
      <c r="AX29" s="61">
        <f t="shared" si="35"/>
        <v>0</v>
      </c>
      <c r="AY29" s="65"/>
      <c r="AZ29" s="66"/>
      <c r="BA29" s="66">
        <f t="shared" si="36"/>
        <v>0</v>
      </c>
      <c r="BB29" s="66">
        <f t="shared" si="37"/>
        <v>1854.058</v>
      </c>
      <c r="BC29" s="67"/>
      <c r="BD29" s="14">
        <f t="shared" si="38"/>
        <v>1413.4420000000005</v>
      </c>
      <c r="BE29" s="16">
        <f t="shared" si="39"/>
        <v>79.11000000000013</v>
      </c>
    </row>
    <row r="30" spans="1:57" ht="12.75" hidden="1">
      <c r="A30" s="8" t="s">
        <v>40</v>
      </c>
      <c r="B30" s="54">
        <v>368.6</v>
      </c>
      <c r="C30" s="87">
        <f t="shared" si="22"/>
        <v>3188.3900000000003</v>
      </c>
      <c r="D30" s="86">
        <f t="shared" si="23"/>
        <v>1090.7600000000002</v>
      </c>
      <c r="E30" s="84">
        <v>338.55</v>
      </c>
      <c r="F30" s="84">
        <v>0</v>
      </c>
      <c r="G30" s="84">
        <v>127.36</v>
      </c>
      <c r="H30" s="84">
        <v>0</v>
      </c>
      <c r="I30" s="84">
        <v>804.46</v>
      </c>
      <c r="J30" s="84">
        <v>0</v>
      </c>
      <c r="K30" s="84">
        <v>556.41</v>
      </c>
      <c r="L30" s="84">
        <v>0</v>
      </c>
      <c r="M30" s="84">
        <v>270.85</v>
      </c>
      <c r="N30" s="84">
        <v>0</v>
      </c>
      <c r="O30" s="84">
        <v>0</v>
      </c>
      <c r="P30" s="85">
        <v>0</v>
      </c>
      <c r="Q30" s="85"/>
      <c r="R30" s="85"/>
      <c r="S30" s="49">
        <f t="shared" si="24"/>
        <v>2097.63</v>
      </c>
      <c r="T30" s="58">
        <f t="shared" si="25"/>
        <v>0</v>
      </c>
      <c r="U30" s="49">
        <v>377.29</v>
      </c>
      <c r="V30" s="49">
        <v>142.49</v>
      </c>
      <c r="W30" s="49">
        <v>897.14</v>
      </c>
      <c r="X30" s="49">
        <v>620.46</v>
      </c>
      <c r="Y30" s="49">
        <v>301.87</v>
      </c>
      <c r="Z30" s="49">
        <v>0</v>
      </c>
      <c r="AA30" s="59">
        <v>0</v>
      </c>
      <c r="AB30" s="59">
        <f t="shared" si="40"/>
        <v>2339.25</v>
      </c>
      <c r="AC30" s="68">
        <f t="shared" si="26"/>
        <v>3430.01</v>
      </c>
      <c r="AD30" s="60">
        <f t="shared" si="27"/>
        <v>0</v>
      </c>
      <c r="AE30" s="60">
        <f t="shared" si="28"/>
        <v>0</v>
      </c>
      <c r="AF30" s="60"/>
      <c r="AG30" s="61">
        <f t="shared" si="29"/>
        <v>221.16</v>
      </c>
      <c r="AH30" s="61">
        <f t="shared" si="30"/>
        <v>73.72000000000001</v>
      </c>
      <c r="AI30" s="61">
        <f t="shared" si="31"/>
        <v>368.6</v>
      </c>
      <c r="AJ30" s="61">
        <v>0</v>
      </c>
      <c r="AK30" s="61">
        <f t="shared" si="32"/>
        <v>361.228</v>
      </c>
      <c r="AL30" s="61">
        <v>0</v>
      </c>
      <c r="AM30" s="61">
        <f t="shared" si="33"/>
        <v>829.35</v>
      </c>
      <c r="AN30" s="61">
        <v>0</v>
      </c>
      <c r="AO30" s="61"/>
      <c r="AP30" s="61"/>
      <c r="AQ30" s="62"/>
      <c r="AR30" s="62"/>
      <c r="AS30" s="63"/>
      <c r="AT30" s="63"/>
      <c r="AU30" s="63">
        <f t="shared" si="34"/>
        <v>0</v>
      </c>
      <c r="AV30" s="64">
        <v>425</v>
      </c>
      <c r="AW30" s="122">
        <v>0</v>
      </c>
      <c r="AX30" s="61">
        <f t="shared" si="35"/>
        <v>0</v>
      </c>
      <c r="AY30" s="65"/>
      <c r="AZ30" s="66"/>
      <c r="BA30" s="66">
        <f t="shared" si="36"/>
        <v>0</v>
      </c>
      <c r="BB30" s="66">
        <f t="shared" si="37"/>
        <v>1854.058</v>
      </c>
      <c r="BC30" s="67"/>
      <c r="BD30" s="14">
        <f t="shared" si="38"/>
        <v>1575.9520000000002</v>
      </c>
      <c r="BE30" s="16">
        <f t="shared" si="39"/>
        <v>241.6199999999999</v>
      </c>
    </row>
    <row r="31" spans="1:57" ht="12.75" hidden="1">
      <c r="A31" s="8" t="s">
        <v>41</v>
      </c>
      <c r="B31" s="54">
        <v>368.6</v>
      </c>
      <c r="C31" s="87">
        <f t="shared" si="22"/>
        <v>3188.3900000000003</v>
      </c>
      <c r="D31" s="86">
        <f t="shared" si="23"/>
        <v>1090.7600000000002</v>
      </c>
      <c r="E31" s="57">
        <v>338.55</v>
      </c>
      <c r="F31" s="57">
        <v>0</v>
      </c>
      <c r="G31" s="57">
        <v>127.36</v>
      </c>
      <c r="H31" s="57">
        <v>0</v>
      </c>
      <c r="I31" s="57">
        <v>804.46</v>
      </c>
      <c r="J31" s="57">
        <v>0</v>
      </c>
      <c r="K31" s="57">
        <v>556.41</v>
      </c>
      <c r="L31" s="57">
        <v>0</v>
      </c>
      <c r="M31" s="57">
        <v>270.85</v>
      </c>
      <c r="N31" s="57">
        <v>0</v>
      </c>
      <c r="O31" s="57">
        <v>0</v>
      </c>
      <c r="P31" s="69">
        <v>0</v>
      </c>
      <c r="Q31" s="69"/>
      <c r="R31" s="69"/>
      <c r="S31" s="49">
        <f t="shared" si="24"/>
        <v>2097.63</v>
      </c>
      <c r="T31" s="58">
        <f t="shared" si="25"/>
        <v>0</v>
      </c>
      <c r="U31" s="88">
        <v>624.8</v>
      </c>
      <c r="V31" s="49">
        <v>232.6</v>
      </c>
      <c r="W31" s="49">
        <v>1482.19</v>
      </c>
      <c r="X31" s="49">
        <v>1025.46</v>
      </c>
      <c r="Y31" s="49">
        <v>499.83</v>
      </c>
      <c r="Z31" s="49">
        <v>0</v>
      </c>
      <c r="AA31" s="59">
        <v>0</v>
      </c>
      <c r="AB31" s="59">
        <f t="shared" si="40"/>
        <v>3864.88</v>
      </c>
      <c r="AC31" s="68">
        <f t="shared" si="26"/>
        <v>4955.64</v>
      </c>
      <c r="AD31" s="60">
        <f t="shared" si="27"/>
        <v>0</v>
      </c>
      <c r="AE31" s="60">
        <f t="shared" si="28"/>
        <v>0</v>
      </c>
      <c r="AF31" s="60"/>
      <c r="AG31" s="61">
        <f t="shared" si="29"/>
        <v>221.16</v>
      </c>
      <c r="AH31" s="61">
        <f t="shared" si="30"/>
        <v>73.72000000000001</v>
      </c>
      <c r="AI31" s="61">
        <f t="shared" si="31"/>
        <v>368.6</v>
      </c>
      <c r="AJ31" s="61">
        <v>0</v>
      </c>
      <c r="AK31" s="61">
        <f t="shared" si="32"/>
        <v>361.228</v>
      </c>
      <c r="AL31" s="61">
        <v>0</v>
      </c>
      <c r="AM31" s="61">
        <f t="shared" si="33"/>
        <v>829.35</v>
      </c>
      <c r="AN31" s="61">
        <v>0</v>
      </c>
      <c r="AO31" s="61"/>
      <c r="AP31" s="61"/>
      <c r="AQ31" s="62"/>
      <c r="AR31" s="62"/>
      <c r="AS31" s="63"/>
      <c r="AT31" s="63"/>
      <c r="AU31" s="63">
        <f t="shared" si="34"/>
        <v>0</v>
      </c>
      <c r="AV31" s="64">
        <v>470</v>
      </c>
      <c r="AW31" s="122">
        <v>0</v>
      </c>
      <c r="AX31" s="61">
        <f t="shared" si="35"/>
        <v>0</v>
      </c>
      <c r="AY31" s="65"/>
      <c r="AZ31" s="66"/>
      <c r="BA31" s="66">
        <f t="shared" si="36"/>
        <v>0</v>
      </c>
      <c r="BB31" s="66">
        <f t="shared" si="37"/>
        <v>1854.058</v>
      </c>
      <c r="BC31" s="67"/>
      <c r="BD31" s="14">
        <f t="shared" si="38"/>
        <v>3101.5820000000003</v>
      </c>
      <c r="BE31" s="16">
        <f t="shared" si="39"/>
        <v>1767.25</v>
      </c>
    </row>
    <row r="32" spans="1:57" ht="12.75" hidden="1">
      <c r="A32" s="8" t="s">
        <v>42</v>
      </c>
      <c r="B32" s="54">
        <v>368.6</v>
      </c>
      <c r="C32" s="87">
        <f t="shared" si="22"/>
        <v>3188.3900000000003</v>
      </c>
      <c r="D32" s="86">
        <f t="shared" si="23"/>
        <v>1090.7600000000002</v>
      </c>
      <c r="E32" s="57">
        <v>338.55</v>
      </c>
      <c r="F32" s="57">
        <v>0</v>
      </c>
      <c r="G32" s="57">
        <v>127.36</v>
      </c>
      <c r="H32" s="57">
        <v>0</v>
      </c>
      <c r="I32" s="57">
        <v>804.46</v>
      </c>
      <c r="J32" s="57">
        <v>0</v>
      </c>
      <c r="K32" s="57">
        <v>556.41</v>
      </c>
      <c r="L32" s="57">
        <v>0</v>
      </c>
      <c r="M32" s="57">
        <v>270.85</v>
      </c>
      <c r="N32" s="57">
        <v>0</v>
      </c>
      <c r="O32" s="57">
        <v>0</v>
      </c>
      <c r="P32" s="69">
        <v>0</v>
      </c>
      <c r="Q32" s="69"/>
      <c r="R32" s="69"/>
      <c r="S32" s="49">
        <f t="shared" si="24"/>
        <v>2097.63</v>
      </c>
      <c r="T32" s="58">
        <f t="shared" si="25"/>
        <v>0</v>
      </c>
      <c r="U32" s="49">
        <v>390.4</v>
      </c>
      <c r="V32" s="49">
        <v>147.27</v>
      </c>
      <c r="W32" s="49">
        <v>928.06</v>
      </c>
      <c r="X32" s="49">
        <v>641.86</v>
      </c>
      <c r="Y32" s="49">
        <v>312.33</v>
      </c>
      <c r="Z32" s="49">
        <v>0</v>
      </c>
      <c r="AA32" s="59">
        <v>0</v>
      </c>
      <c r="AB32" s="59">
        <f t="shared" si="40"/>
        <v>2419.92</v>
      </c>
      <c r="AC32" s="68">
        <f t="shared" si="26"/>
        <v>3510.6800000000003</v>
      </c>
      <c r="AD32" s="60">
        <f t="shared" si="27"/>
        <v>0</v>
      </c>
      <c r="AE32" s="60">
        <f t="shared" si="28"/>
        <v>0</v>
      </c>
      <c r="AF32" s="60"/>
      <c r="AG32" s="61">
        <f t="shared" si="29"/>
        <v>221.16</v>
      </c>
      <c r="AH32" s="61">
        <f t="shared" si="30"/>
        <v>73.72000000000001</v>
      </c>
      <c r="AI32" s="61">
        <f t="shared" si="31"/>
        <v>368.6</v>
      </c>
      <c r="AJ32" s="61">
        <v>0</v>
      </c>
      <c r="AK32" s="61">
        <f t="shared" si="32"/>
        <v>361.228</v>
      </c>
      <c r="AL32" s="61">
        <v>0</v>
      </c>
      <c r="AM32" s="61">
        <f t="shared" si="33"/>
        <v>829.35</v>
      </c>
      <c r="AN32" s="61">
        <v>0</v>
      </c>
      <c r="AO32" s="61"/>
      <c r="AP32" s="61"/>
      <c r="AQ32" s="62"/>
      <c r="AR32" s="62"/>
      <c r="AS32" s="63"/>
      <c r="AT32" s="63"/>
      <c r="AU32" s="63">
        <f t="shared" si="34"/>
        <v>0</v>
      </c>
      <c r="AV32" s="64">
        <v>514</v>
      </c>
      <c r="AW32" s="122">
        <v>0</v>
      </c>
      <c r="AX32" s="61">
        <f t="shared" si="35"/>
        <v>0</v>
      </c>
      <c r="AY32" s="65"/>
      <c r="AZ32" s="66"/>
      <c r="BA32" s="66">
        <f t="shared" si="36"/>
        <v>0</v>
      </c>
      <c r="BB32" s="66">
        <f t="shared" si="37"/>
        <v>1854.058</v>
      </c>
      <c r="BC32" s="67"/>
      <c r="BD32" s="14">
        <f t="shared" si="38"/>
        <v>1656.6220000000003</v>
      </c>
      <c r="BE32" s="16">
        <f t="shared" si="39"/>
        <v>322.28999999999996</v>
      </c>
    </row>
    <row r="33" spans="1:57" s="17" customFormat="1" ht="12.75" hidden="1">
      <c r="A33" s="70" t="s">
        <v>5</v>
      </c>
      <c r="B33" s="71"/>
      <c r="C33" s="71">
        <f aca="true" t="shared" si="41" ref="C33:AU33">SUM(C21:C32)</f>
        <v>38260.68</v>
      </c>
      <c r="D33" s="71">
        <f t="shared" si="41"/>
        <v>13062.110000000004</v>
      </c>
      <c r="E33" s="72">
        <f t="shared" si="41"/>
        <v>3605.100000000001</v>
      </c>
      <c r="F33" s="72">
        <f t="shared" si="41"/>
        <v>462</v>
      </c>
      <c r="G33" s="72">
        <f t="shared" si="41"/>
        <v>1355.0599999999997</v>
      </c>
      <c r="H33" s="72">
        <f t="shared" si="41"/>
        <v>174.6</v>
      </c>
      <c r="I33" s="72">
        <f t="shared" si="41"/>
        <v>8565.35</v>
      </c>
      <c r="J33" s="72">
        <f t="shared" si="41"/>
        <v>1098.53</v>
      </c>
      <c r="K33" s="72">
        <f t="shared" si="41"/>
        <v>5924.48</v>
      </c>
      <c r="L33" s="72">
        <f t="shared" si="41"/>
        <v>759.6700000000001</v>
      </c>
      <c r="M33" s="72">
        <f t="shared" si="41"/>
        <v>2884.1799999999994</v>
      </c>
      <c r="N33" s="72">
        <f t="shared" si="41"/>
        <v>369.6</v>
      </c>
      <c r="O33" s="72">
        <f t="shared" si="41"/>
        <v>0</v>
      </c>
      <c r="P33" s="72">
        <f t="shared" si="41"/>
        <v>0</v>
      </c>
      <c r="Q33" s="72">
        <f t="shared" si="41"/>
        <v>0</v>
      </c>
      <c r="R33" s="72">
        <f t="shared" si="41"/>
        <v>0</v>
      </c>
      <c r="S33" s="72">
        <f t="shared" si="41"/>
        <v>22334.170000000006</v>
      </c>
      <c r="T33" s="72">
        <f t="shared" si="41"/>
        <v>2864.4</v>
      </c>
      <c r="U33" s="73">
        <f t="shared" si="41"/>
        <v>2936.6600000000003</v>
      </c>
      <c r="V33" s="73">
        <f t="shared" si="41"/>
        <v>1099.01</v>
      </c>
      <c r="W33" s="73">
        <f t="shared" si="41"/>
        <v>6788.379999999999</v>
      </c>
      <c r="X33" s="73">
        <f t="shared" si="41"/>
        <v>4694.42</v>
      </c>
      <c r="Y33" s="73">
        <f t="shared" si="41"/>
        <v>2410.54</v>
      </c>
      <c r="Z33" s="73">
        <f t="shared" si="41"/>
        <v>1863.1299999999999</v>
      </c>
      <c r="AA33" s="73">
        <f t="shared" si="41"/>
        <v>0</v>
      </c>
      <c r="AB33" s="73">
        <f t="shared" si="41"/>
        <v>19792.14</v>
      </c>
      <c r="AC33" s="73">
        <f t="shared" si="41"/>
        <v>35718.65000000001</v>
      </c>
      <c r="AD33" s="73">
        <f t="shared" si="41"/>
        <v>1863.1299999999999</v>
      </c>
      <c r="AE33" s="74">
        <f t="shared" si="41"/>
        <v>0</v>
      </c>
      <c r="AF33" s="74">
        <f t="shared" si="41"/>
        <v>0</v>
      </c>
      <c r="AG33" s="75">
        <f t="shared" si="41"/>
        <v>2653.92</v>
      </c>
      <c r="AH33" s="75">
        <f t="shared" si="41"/>
        <v>884.6400000000002</v>
      </c>
      <c r="AI33" s="75">
        <f t="shared" si="41"/>
        <v>4423.2</v>
      </c>
      <c r="AJ33" s="75">
        <f t="shared" si="41"/>
        <v>0</v>
      </c>
      <c r="AK33" s="75">
        <f t="shared" si="41"/>
        <v>4334.736</v>
      </c>
      <c r="AL33" s="75">
        <f t="shared" si="41"/>
        <v>0</v>
      </c>
      <c r="AM33" s="75">
        <f t="shared" si="41"/>
        <v>9952.200000000003</v>
      </c>
      <c r="AN33" s="75">
        <f t="shared" si="41"/>
        <v>0</v>
      </c>
      <c r="AO33" s="75">
        <f t="shared" si="41"/>
        <v>0</v>
      </c>
      <c r="AP33" s="75">
        <f t="shared" si="41"/>
        <v>0</v>
      </c>
      <c r="AQ33" s="75">
        <f t="shared" si="41"/>
        <v>0</v>
      </c>
      <c r="AR33" s="75">
        <f t="shared" si="41"/>
        <v>0</v>
      </c>
      <c r="AS33" s="75">
        <f t="shared" si="41"/>
        <v>0</v>
      </c>
      <c r="AT33" s="75">
        <f t="shared" si="41"/>
        <v>47.8</v>
      </c>
      <c r="AU33" s="75">
        <f t="shared" si="41"/>
        <v>0</v>
      </c>
      <c r="AV33" s="75"/>
      <c r="AW33" s="75"/>
      <c r="AX33" s="75">
        <f aca="true" t="shared" si="42" ref="AX33:BE33">SUM(AX21:AX32)</f>
        <v>-923.9999999999998</v>
      </c>
      <c r="AY33" s="75">
        <f t="shared" si="42"/>
        <v>0</v>
      </c>
      <c r="AZ33" s="75">
        <f t="shared" si="42"/>
        <v>0</v>
      </c>
      <c r="BA33" s="75">
        <f t="shared" si="42"/>
        <v>0</v>
      </c>
      <c r="BB33" s="75">
        <f t="shared" si="42"/>
        <v>21372.496000000003</v>
      </c>
      <c r="BC33" s="75">
        <f t="shared" si="42"/>
        <v>0</v>
      </c>
      <c r="BD33" s="75">
        <f t="shared" si="42"/>
        <v>14346.154000000006</v>
      </c>
      <c r="BE33" s="76">
        <f t="shared" si="42"/>
        <v>-2542.0300000000007</v>
      </c>
    </row>
    <row r="34" spans="1:57" ht="12.75">
      <c r="A34" s="8"/>
      <c r="B34" s="90"/>
      <c r="C34" s="48"/>
      <c r="D34" s="48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9"/>
      <c r="T34" s="19"/>
      <c r="U34" s="92"/>
      <c r="V34" s="92"/>
      <c r="W34" s="92"/>
      <c r="X34" s="92"/>
      <c r="Y34" s="92"/>
      <c r="Z34" s="92"/>
      <c r="AA34" s="92"/>
      <c r="AB34" s="92"/>
      <c r="AC34" s="93"/>
      <c r="AD34" s="93"/>
      <c r="AE34" s="60"/>
      <c r="AF34" s="60"/>
      <c r="AG34" s="61"/>
      <c r="AH34" s="61"/>
      <c r="AI34" s="61"/>
      <c r="AJ34" s="61"/>
      <c r="AK34" s="61"/>
      <c r="AL34" s="61"/>
      <c r="AM34" s="61"/>
      <c r="AN34" s="61"/>
      <c r="AO34" s="94"/>
      <c r="AP34" s="94"/>
      <c r="AQ34" s="94"/>
      <c r="AR34" s="94"/>
      <c r="AS34" s="95"/>
      <c r="AT34" s="95"/>
      <c r="AU34" s="63"/>
      <c r="AV34" s="63"/>
      <c r="AW34" s="63"/>
      <c r="AX34" s="96"/>
      <c r="AY34" s="94"/>
      <c r="AZ34" s="94"/>
      <c r="BA34" s="61"/>
      <c r="BB34" s="61"/>
      <c r="BC34" s="61"/>
      <c r="BD34" s="61"/>
      <c r="BE34" s="53"/>
    </row>
    <row r="35" spans="1:57" s="17" customFormat="1" ht="13.5" thickBot="1">
      <c r="A35" s="97" t="s">
        <v>53</v>
      </c>
      <c r="B35" s="98"/>
      <c r="C35" s="98">
        <f>C19+C33</f>
        <v>70144.58</v>
      </c>
      <c r="D35" s="98">
        <f aca="true" t="shared" si="43" ref="D35:BE35">D19+D33</f>
        <v>23496.687500000015</v>
      </c>
      <c r="E35" s="98">
        <f t="shared" si="43"/>
        <v>6045.950000000001</v>
      </c>
      <c r="F35" s="98">
        <f t="shared" si="43"/>
        <v>1171.3600000000001</v>
      </c>
      <c r="G35" s="98">
        <f t="shared" si="43"/>
        <v>2266.8399999999997</v>
      </c>
      <c r="H35" s="98">
        <f t="shared" si="43"/>
        <v>440.05999999999995</v>
      </c>
      <c r="I35" s="98">
        <f t="shared" si="43"/>
        <v>14054.26</v>
      </c>
      <c r="J35" s="98">
        <f t="shared" si="43"/>
        <v>2658.2</v>
      </c>
      <c r="K35" s="98">
        <f t="shared" si="43"/>
        <v>9719.81</v>
      </c>
      <c r="L35" s="98">
        <f t="shared" si="43"/>
        <v>1836.9299999999998</v>
      </c>
      <c r="M35" s="98">
        <f t="shared" si="43"/>
        <v>4836.889999999999</v>
      </c>
      <c r="N35" s="98">
        <f t="shared" si="43"/>
        <v>937.12</v>
      </c>
      <c r="O35" s="98">
        <f t="shared" si="43"/>
        <v>43593.18</v>
      </c>
      <c r="P35" s="98">
        <f t="shared" si="43"/>
        <v>5608.65</v>
      </c>
      <c r="Q35" s="98">
        <f t="shared" si="43"/>
        <v>0</v>
      </c>
      <c r="R35" s="98">
        <f t="shared" si="43"/>
        <v>0</v>
      </c>
      <c r="S35" s="98">
        <f t="shared" si="43"/>
        <v>80516.93000000001</v>
      </c>
      <c r="T35" s="98">
        <f t="shared" si="43"/>
        <v>12652.319999999998</v>
      </c>
      <c r="U35" s="98">
        <f t="shared" si="43"/>
        <v>4389.55</v>
      </c>
      <c r="V35" s="98">
        <f t="shared" si="43"/>
        <v>1639.69</v>
      </c>
      <c r="W35" s="98">
        <f t="shared" si="43"/>
        <v>9872.84</v>
      </c>
      <c r="X35" s="98">
        <f t="shared" si="43"/>
        <v>6825.969999999999</v>
      </c>
      <c r="Y35" s="98">
        <f t="shared" si="43"/>
        <v>3633.9399999999996</v>
      </c>
      <c r="Z35" s="98">
        <f t="shared" si="43"/>
        <v>32121.110000000004</v>
      </c>
      <c r="AA35" s="98">
        <f t="shared" si="43"/>
        <v>0</v>
      </c>
      <c r="AB35" s="98">
        <f t="shared" si="43"/>
        <v>58483.100000000006</v>
      </c>
      <c r="AC35" s="98">
        <f t="shared" si="43"/>
        <v>94632.10750000001</v>
      </c>
      <c r="AD35" s="98">
        <f t="shared" si="43"/>
        <v>37729.759999999995</v>
      </c>
      <c r="AE35" s="98">
        <f t="shared" si="43"/>
        <v>0</v>
      </c>
      <c r="AF35" s="98">
        <f t="shared" si="43"/>
        <v>0</v>
      </c>
      <c r="AG35" s="98">
        <f t="shared" si="43"/>
        <v>4821.2880000000005</v>
      </c>
      <c r="AH35" s="98">
        <f t="shared" si="43"/>
        <v>1610.3849700000005</v>
      </c>
      <c r="AI35" s="98">
        <f t="shared" si="43"/>
        <v>7466.3964805</v>
      </c>
      <c r="AJ35" s="98">
        <f t="shared" si="43"/>
        <v>547.77536649</v>
      </c>
      <c r="AK35" s="98">
        <f t="shared" si="43"/>
        <v>7289.51885718</v>
      </c>
      <c r="AL35" s="98">
        <f t="shared" si="43"/>
        <v>531.8609142924</v>
      </c>
      <c r="AM35" s="98">
        <f t="shared" si="43"/>
        <v>16750.50313131085</v>
      </c>
      <c r="AN35" s="98">
        <f t="shared" si="43"/>
        <v>1223.6945636359526</v>
      </c>
      <c r="AO35" s="98">
        <f t="shared" si="43"/>
        <v>0</v>
      </c>
      <c r="AP35" s="98">
        <f t="shared" si="43"/>
        <v>0</v>
      </c>
      <c r="AQ35" s="98">
        <f t="shared" si="43"/>
        <v>5768.4</v>
      </c>
      <c r="AR35" s="98">
        <f t="shared" si="43"/>
        <v>1038.312</v>
      </c>
      <c r="AS35" s="98">
        <f t="shared" si="43"/>
        <v>5367.46</v>
      </c>
      <c r="AT35" s="98">
        <f t="shared" si="43"/>
        <v>47.8</v>
      </c>
      <c r="AU35" s="98">
        <f t="shared" si="43"/>
        <v>966.1428</v>
      </c>
      <c r="AV35" s="98">
        <f t="shared" si="43"/>
        <v>0</v>
      </c>
      <c r="AW35" s="98">
        <f t="shared" si="43"/>
        <v>0</v>
      </c>
      <c r="AX35" s="98">
        <f t="shared" si="43"/>
        <v>-923.9999999999998</v>
      </c>
      <c r="AY35" s="98">
        <f t="shared" si="43"/>
        <v>0</v>
      </c>
      <c r="AZ35" s="98">
        <f t="shared" si="43"/>
        <v>0</v>
      </c>
      <c r="BA35" s="98">
        <f t="shared" si="43"/>
        <v>0</v>
      </c>
      <c r="BB35" s="98">
        <f t="shared" si="43"/>
        <v>52505.5370834092</v>
      </c>
      <c r="BC35" s="98">
        <f t="shared" si="43"/>
        <v>0</v>
      </c>
      <c r="BD35" s="98">
        <f t="shared" si="43"/>
        <v>42126.57041659081</v>
      </c>
      <c r="BE35" s="98">
        <f t="shared" si="43"/>
        <v>-22033.829999999994</v>
      </c>
    </row>
  </sheetData>
  <sheetProtection/>
  <mergeCells count="67">
    <mergeCell ref="AO5:AO6"/>
    <mergeCell ref="AR5:AR6"/>
    <mergeCell ref="AS5:AS6"/>
    <mergeCell ref="AT5:AT6"/>
    <mergeCell ref="AP5:AP6"/>
    <mergeCell ref="AQ5:AQ6"/>
    <mergeCell ref="AN5:AN6"/>
    <mergeCell ref="L5:L6"/>
    <mergeCell ref="M5:M6"/>
    <mergeCell ref="N5:N6"/>
    <mergeCell ref="O5:O6"/>
    <mergeCell ref="P5:P6"/>
    <mergeCell ref="Q5:Q6"/>
    <mergeCell ref="AF3:AF6"/>
    <mergeCell ref="AG3:BB4"/>
    <mergeCell ref="AU5:AU6"/>
    <mergeCell ref="K5:K6"/>
    <mergeCell ref="AM5:AM6"/>
    <mergeCell ref="R5:R6"/>
    <mergeCell ref="S5:S6"/>
    <mergeCell ref="Z5:Z6"/>
    <mergeCell ref="AA5:AA6"/>
    <mergeCell ref="AB5:AB6"/>
    <mergeCell ref="AE3:AE6"/>
    <mergeCell ref="E5:E6"/>
    <mergeCell ref="F5:F6"/>
    <mergeCell ref="G5:G6"/>
    <mergeCell ref="H5:H6"/>
    <mergeCell ref="I5:I6"/>
    <mergeCell ref="J5:J6"/>
    <mergeCell ref="AK5:AK6"/>
    <mergeCell ref="AL5:AL6"/>
    <mergeCell ref="M4:N4"/>
    <mergeCell ref="O4:P4"/>
    <mergeCell ref="Q4:R4"/>
    <mergeCell ref="AG5:AG6"/>
    <mergeCell ref="AH5:AH6"/>
    <mergeCell ref="AI5:AI6"/>
    <mergeCell ref="AJ5:AJ6"/>
    <mergeCell ref="S3:T4"/>
    <mergeCell ref="U3:AB4"/>
    <mergeCell ref="AC3:AC6"/>
    <mergeCell ref="AD3:AD6"/>
    <mergeCell ref="T5:T6"/>
    <mergeCell ref="U5:U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C3:BC6"/>
    <mergeCell ref="BD3:BD6"/>
    <mergeCell ref="BE3:BE6"/>
    <mergeCell ref="AV5:AX5"/>
    <mergeCell ref="AY5:AY6"/>
    <mergeCell ref="AZ5:AZ6"/>
    <mergeCell ref="BA5:BA6"/>
    <mergeCell ref="BB5:B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4">
      <selection activeCell="B46" sqref="B46"/>
    </sheetView>
  </sheetViews>
  <sheetFormatPr defaultColWidth="9.00390625" defaultRowHeight="12.75"/>
  <cols>
    <col min="1" max="1" width="11.00390625" style="2" customWidth="1"/>
    <col min="2" max="2" width="10.00390625" style="2" customWidth="1"/>
    <col min="3" max="3" width="10.875" style="2" customWidth="1"/>
    <col min="4" max="4" width="11.375" style="2" customWidth="1"/>
    <col min="5" max="5" width="9.00390625" style="2" customWidth="1"/>
    <col min="6" max="6" width="9.375" style="2" customWidth="1"/>
    <col min="7" max="7" width="9.125" style="2" bestFit="1" customWidth="1"/>
    <col min="8" max="8" width="10.75390625" style="2" customWidth="1"/>
    <col min="9" max="9" width="9.00390625" style="2" customWidth="1"/>
    <col min="10" max="10" width="9.25390625" style="2" customWidth="1"/>
    <col min="11" max="11" width="10.875" style="2" customWidth="1"/>
    <col min="12" max="13" width="9.125" style="2" customWidth="1"/>
    <col min="14" max="14" width="10.125" style="2" customWidth="1"/>
    <col min="15" max="16" width="10.00390625" style="2" customWidth="1"/>
    <col min="17" max="17" width="7.125" style="2" customWidth="1"/>
    <col min="18" max="18" width="9.125" style="2" customWidth="1"/>
    <col min="19" max="19" width="10.75390625" style="2" customWidth="1"/>
    <col min="20" max="20" width="14.00390625" style="2" customWidth="1"/>
    <col min="21" max="16384" width="9.125" style="2" customWidth="1"/>
  </cols>
  <sheetData>
    <row r="1" ht="18.75">
      <c r="E1" s="20" t="s">
        <v>54</v>
      </c>
    </row>
    <row r="2" ht="18.75">
      <c r="E2" s="20" t="s">
        <v>55</v>
      </c>
    </row>
    <row r="6" spans="1:19" ht="12.75">
      <c r="A6" s="208" t="s">
        <v>69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</row>
    <row r="7" spans="1:19" ht="12.75">
      <c r="A7" s="208" t="s">
        <v>92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</row>
    <row r="8" spans="1:19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5" ht="13.5" thickBot="1">
      <c r="A9" s="22" t="s">
        <v>56</v>
      </c>
      <c r="D9" s="4"/>
      <c r="E9" s="50">
        <v>8.65</v>
      </c>
    </row>
    <row r="10" spans="1:16" ht="12.75" customHeight="1">
      <c r="A10" s="149" t="s">
        <v>57</v>
      </c>
      <c r="B10" s="210" t="s">
        <v>1</v>
      </c>
      <c r="C10" s="213" t="s">
        <v>58</v>
      </c>
      <c r="D10" s="216" t="s">
        <v>3</v>
      </c>
      <c r="E10" s="187" t="s">
        <v>59</v>
      </c>
      <c r="F10" s="188"/>
      <c r="G10" s="191" t="s">
        <v>81</v>
      </c>
      <c r="H10" s="192"/>
      <c r="I10" s="195" t="s">
        <v>10</v>
      </c>
      <c r="J10" s="173"/>
      <c r="K10" s="173"/>
      <c r="L10" s="173"/>
      <c r="M10" s="173"/>
      <c r="N10" s="196"/>
      <c r="O10" s="199" t="s">
        <v>60</v>
      </c>
      <c r="P10" s="199" t="s">
        <v>12</v>
      </c>
    </row>
    <row r="11" spans="1:16" ht="12.75">
      <c r="A11" s="150"/>
      <c r="B11" s="211"/>
      <c r="C11" s="214"/>
      <c r="D11" s="217"/>
      <c r="E11" s="189"/>
      <c r="F11" s="190"/>
      <c r="G11" s="193"/>
      <c r="H11" s="194"/>
      <c r="I11" s="197"/>
      <c r="J11" s="146"/>
      <c r="K11" s="146"/>
      <c r="L11" s="146"/>
      <c r="M11" s="146"/>
      <c r="N11" s="198"/>
      <c r="O11" s="200"/>
      <c r="P11" s="200"/>
    </row>
    <row r="12" spans="1:16" ht="26.25" customHeight="1">
      <c r="A12" s="150"/>
      <c r="B12" s="211"/>
      <c r="C12" s="214"/>
      <c r="D12" s="217"/>
      <c r="E12" s="219" t="s">
        <v>61</v>
      </c>
      <c r="F12" s="220"/>
      <c r="G12" s="103" t="s">
        <v>62</v>
      </c>
      <c r="H12" s="202" t="s">
        <v>7</v>
      </c>
      <c r="I12" s="204" t="s">
        <v>63</v>
      </c>
      <c r="J12" s="206" t="s">
        <v>32</v>
      </c>
      <c r="K12" s="206" t="s">
        <v>64</v>
      </c>
      <c r="L12" s="206" t="s">
        <v>37</v>
      </c>
      <c r="M12" s="206" t="s">
        <v>65</v>
      </c>
      <c r="N12" s="202" t="s">
        <v>39</v>
      </c>
      <c r="O12" s="200"/>
      <c r="P12" s="200"/>
    </row>
    <row r="13" spans="1:16" ht="66.75" customHeight="1" thickBot="1">
      <c r="A13" s="209"/>
      <c r="B13" s="212"/>
      <c r="C13" s="215"/>
      <c r="D13" s="218"/>
      <c r="E13" s="23" t="s">
        <v>66</v>
      </c>
      <c r="F13" s="24" t="s">
        <v>21</v>
      </c>
      <c r="G13" s="51" t="s">
        <v>82</v>
      </c>
      <c r="H13" s="203"/>
      <c r="I13" s="205"/>
      <c r="J13" s="207"/>
      <c r="K13" s="207"/>
      <c r="L13" s="207"/>
      <c r="M13" s="207"/>
      <c r="N13" s="203"/>
      <c r="O13" s="201"/>
      <c r="P13" s="201"/>
    </row>
    <row r="14" spans="1:16" ht="13.5" thickBot="1">
      <c r="A14" s="25">
        <v>1</v>
      </c>
      <c r="B14" s="26">
        <v>2</v>
      </c>
      <c r="C14" s="25">
        <v>3</v>
      </c>
      <c r="D14" s="26">
        <v>4</v>
      </c>
      <c r="E14" s="25">
        <v>5</v>
      </c>
      <c r="F14" s="26">
        <v>6</v>
      </c>
      <c r="G14" s="25">
        <v>7</v>
      </c>
      <c r="H14" s="26">
        <v>8</v>
      </c>
      <c r="I14" s="25">
        <v>9</v>
      </c>
      <c r="J14" s="26">
        <v>10</v>
      </c>
      <c r="K14" s="25">
        <v>11</v>
      </c>
      <c r="L14" s="26">
        <v>12</v>
      </c>
      <c r="M14" s="25">
        <v>13</v>
      </c>
      <c r="N14" s="26">
        <v>14</v>
      </c>
      <c r="O14" s="25">
        <v>15</v>
      </c>
      <c r="P14" s="26">
        <v>16</v>
      </c>
    </row>
    <row r="15" spans="1:18" ht="12.75" hidden="1">
      <c r="A15" s="6" t="s">
        <v>43</v>
      </c>
      <c r="B15" s="106"/>
      <c r="C15" s="38"/>
      <c r="D15" s="107"/>
      <c r="E15" s="39"/>
      <c r="F15" s="40"/>
      <c r="G15" s="41"/>
      <c r="H15" s="40"/>
      <c r="I15" s="41"/>
      <c r="J15" s="14"/>
      <c r="K15" s="14"/>
      <c r="L15" s="15"/>
      <c r="M15" s="108"/>
      <c r="N15" s="16"/>
      <c r="O15" s="29"/>
      <c r="P15" s="29"/>
      <c r="Q15" s="1"/>
      <c r="R15" s="1"/>
    </row>
    <row r="16" spans="1:18" ht="12.75" hidden="1">
      <c r="A16" s="8" t="s">
        <v>46</v>
      </c>
      <c r="B16" s="104">
        <f>Лист1!B9</f>
        <v>368.6</v>
      </c>
      <c r="C16" s="27">
        <f>Лист1!C9</f>
        <v>3188.3900000000003</v>
      </c>
      <c r="D16" s="105">
        <f>Лист1!D9</f>
        <v>398.54875000000004</v>
      </c>
      <c r="E16" s="14">
        <f>Лист1!S9</f>
        <v>4624.54</v>
      </c>
      <c r="F16" s="16">
        <f>Лист1!T9</f>
        <v>1254.54</v>
      </c>
      <c r="G16" s="28">
        <f>Лист1!AB9</f>
        <v>2880.13</v>
      </c>
      <c r="H16" s="16">
        <f>Лист1!AC9</f>
        <v>4533.21875</v>
      </c>
      <c r="I16" s="28">
        <f>Лист1!AG9</f>
        <v>199.044</v>
      </c>
      <c r="J16" s="14">
        <f>Лист1!AI9+Лист1!AJ9</f>
        <v>320.7315815</v>
      </c>
      <c r="K16" s="14">
        <f>Лист1!AH9+Лист1!AK9+Лист1!AL9+Лист1!AM9+Лист1!AN9+Лист1!AO9+Лист1!AP9+Лист1!AQ9+Лист1!AR9</f>
        <v>1065.63530576</v>
      </c>
      <c r="L16" s="15">
        <f>Лист1!AS9+Лист1!AT9+Лист1!AU9</f>
        <v>0</v>
      </c>
      <c r="M16" s="15">
        <f>Лист1!AX9</f>
        <v>0</v>
      </c>
      <c r="N16" s="16">
        <f>Лист1!BB9</f>
        <v>1585.41088726</v>
      </c>
      <c r="O16" s="29">
        <f>Лист1!BD9</f>
        <v>2947.80786274</v>
      </c>
      <c r="P16" s="29">
        <f>Лист1!BE9</f>
        <v>-1744.4099999999999</v>
      </c>
      <c r="Q16" s="1"/>
      <c r="R16" s="1"/>
    </row>
    <row r="17" spans="1:18" ht="12.75" hidden="1">
      <c r="A17" s="8" t="s">
        <v>47</v>
      </c>
      <c r="B17" s="104">
        <f>Лист1!B10</f>
        <v>368.6</v>
      </c>
      <c r="C17" s="27">
        <f>Лист1!C10</f>
        <v>3188.3900000000003</v>
      </c>
      <c r="D17" s="105">
        <f>Лист1!D10</f>
        <v>398.54875000000004</v>
      </c>
      <c r="E17" s="14">
        <f>Лист1!S10</f>
        <v>5476.73</v>
      </c>
      <c r="F17" s="16">
        <f>Лист1!T10</f>
        <v>1442.53</v>
      </c>
      <c r="G17" s="28">
        <f>Лист1!AB10</f>
        <v>2846.85</v>
      </c>
      <c r="H17" s="16">
        <f>Лист1!AC10</f>
        <v>4687.92875</v>
      </c>
      <c r="I17" s="28">
        <f>Лист1!AG10</f>
        <v>199.044</v>
      </c>
      <c r="J17" s="14">
        <f>Лист1!AI10+Лист1!AJ10</f>
        <v>330.14727940000006</v>
      </c>
      <c r="K17" s="14">
        <f>Лист1!AH10+Лист1!AK10+Лист1!AL10+Лист1!AM10+Лист1!AN10+Лист1!AO10+Лист1!AP10+Лист1!AQ10+Лист1!AR10</f>
        <v>1080.828588496</v>
      </c>
      <c r="L17" s="15">
        <f>Лист1!AS10+Лист1!AT10+Лист1!AU10</f>
        <v>0</v>
      </c>
      <c r="M17" s="15">
        <f>Лист1!AX10</f>
        <v>0</v>
      </c>
      <c r="N17" s="16">
        <f>Лист1!BB10</f>
        <v>1610.019867896</v>
      </c>
      <c r="O17" s="29">
        <f>Лист1!BD10</f>
        <v>3077.908882104</v>
      </c>
      <c r="P17" s="29">
        <f>Лист1!BE10</f>
        <v>-2629.8799999999997</v>
      </c>
      <c r="Q17" s="1"/>
      <c r="R17" s="1"/>
    </row>
    <row r="18" spans="1:18" ht="12.75" hidden="1">
      <c r="A18" s="8" t="s">
        <v>48</v>
      </c>
      <c r="B18" s="104">
        <f>Лист1!B11</f>
        <v>368.6</v>
      </c>
      <c r="C18" s="27">
        <f>Лист1!C11</f>
        <v>3188.3900000000003</v>
      </c>
      <c r="D18" s="105">
        <f>Лист1!D11</f>
        <v>1083.320000000001</v>
      </c>
      <c r="E18" s="14">
        <f>Лист1!S11</f>
        <v>6362.719999999999</v>
      </c>
      <c r="F18" s="16">
        <f>Лист1!T11</f>
        <v>1740.5699999999997</v>
      </c>
      <c r="G18" s="28">
        <f>Лист1!AB11</f>
        <v>4135.15</v>
      </c>
      <c r="H18" s="16">
        <f>Лист1!AC11</f>
        <v>6959.040000000001</v>
      </c>
      <c r="I18" s="28">
        <f>Лист1!AG11</f>
        <v>221.16</v>
      </c>
      <c r="J18" s="14">
        <f>Лист1!AI11+Лист1!AJ11</f>
        <v>369.7058</v>
      </c>
      <c r="K18" s="14">
        <f>Лист1!AH11+Лист1!AK11+Лист1!AL11+Лист1!AM11+Лист1!AN11+Лист1!AO11+Лист1!AP11+Лист1!AQ11+Лист1!AR11</f>
        <v>1266.2147200000002</v>
      </c>
      <c r="L18" s="15">
        <f>Лист1!AS11+Лист1!AT11+Лист1!AU11</f>
        <v>0</v>
      </c>
      <c r="M18" s="15">
        <f>Лист1!AX11</f>
        <v>0</v>
      </c>
      <c r="N18" s="16">
        <f>Лист1!BB11</f>
        <v>1857.0805200000004</v>
      </c>
      <c r="O18" s="29">
        <f>Лист1!BD11</f>
        <v>5101.95948</v>
      </c>
      <c r="P18" s="29">
        <f>Лист1!BE11</f>
        <v>-2227.5699999999997</v>
      </c>
      <c r="Q18" s="1"/>
      <c r="R18" s="1"/>
    </row>
    <row r="19" spans="1:18" ht="12.75" hidden="1">
      <c r="A19" s="8" t="s">
        <v>49</v>
      </c>
      <c r="B19" s="104">
        <f>Лист1!B12</f>
        <v>368.6</v>
      </c>
      <c r="C19" s="27">
        <f>Лист1!C12</f>
        <v>3188.3900000000003</v>
      </c>
      <c r="D19" s="105">
        <f>Лист1!D12</f>
        <v>1326.050000000001</v>
      </c>
      <c r="E19" s="14">
        <f>Лист1!S12</f>
        <v>6362.719999999999</v>
      </c>
      <c r="F19" s="16">
        <f>Лист1!T12</f>
        <v>826.6299999999999</v>
      </c>
      <c r="G19" s="28">
        <f>Лист1!AB12</f>
        <v>2445.7000000000003</v>
      </c>
      <c r="H19" s="16">
        <f>Лист1!AC12</f>
        <v>4598.380000000001</v>
      </c>
      <c r="I19" s="28">
        <f>Лист1!AG12</f>
        <v>221.16</v>
      </c>
      <c r="J19" s="14">
        <f>Лист1!AI12+Лист1!AJ12</f>
        <v>369.7058</v>
      </c>
      <c r="K19" s="14">
        <f>Лист1!AH12+Лист1!AK12+Лист1!AL12+Лист1!AM12+Лист1!AN12+Лист1!AO12+Лист1!AP12+Лист1!AQ12+Лист1!AR12</f>
        <v>4620.279893999999</v>
      </c>
      <c r="L19" s="15">
        <f>Лист1!AS12+Лист1!AT12+Лист1!AU12</f>
        <v>0</v>
      </c>
      <c r="M19" s="15">
        <f>Лист1!AX12</f>
        <v>0</v>
      </c>
      <c r="N19" s="16">
        <f>Лист1!BB12</f>
        <v>5211.145694</v>
      </c>
      <c r="O19" s="29">
        <f>Лист1!BD12</f>
        <v>-612.7656939999988</v>
      </c>
      <c r="P19" s="29">
        <f>Лист1!BE12</f>
        <v>-3917.019999999999</v>
      </c>
      <c r="Q19" s="1"/>
      <c r="R19" s="1"/>
    </row>
    <row r="20" spans="1:18" ht="12.75" hidden="1">
      <c r="A20" s="8" t="s">
        <v>50</v>
      </c>
      <c r="B20" s="104">
        <f>Лист1!B13</f>
        <v>368.6</v>
      </c>
      <c r="C20" s="27">
        <f>Лист1!C13</f>
        <v>3188.3900000000003</v>
      </c>
      <c r="D20" s="105">
        <f>Лист1!D13</f>
        <v>1326.050000000001</v>
      </c>
      <c r="E20" s="14">
        <f>Лист1!S13</f>
        <v>6362.719999999999</v>
      </c>
      <c r="F20" s="16">
        <f>Лист1!T13</f>
        <v>826.6299999999999</v>
      </c>
      <c r="G20" s="28">
        <f>Лист1!AB13</f>
        <v>7789.650000000001</v>
      </c>
      <c r="H20" s="16">
        <f>Лист1!AC13</f>
        <v>9942.330000000002</v>
      </c>
      <c r="I20" s="28">
        <f>Лист1!AG13</f>
        <v>221.16</v>
      </c>
      <c r="J20" s="14">
        <f>Лист1!AI13+Лист1!AJ13</f>
        <v>364.41900706</v>
      </c>
      <c r="K20" s="14">
        <f>Лист1!AH13+Лист1!AK13+Лист1!AL13+Лист1!AM13+Лист1!AN13+Лист1!AO13+Лист1!AP13+Лист1!AQ13+Лист1!AR13</f>
        <v>1253.648858492</v>
      </c>
      <c r="L20" s="15">
        <f>Лист1!AS13+Лист1!AT13+Лист1!AU13</f>
        <v>0</v>
      </c>
      <c r="M20" s="15">
        <f>Лист1!AX13</f>
        <v>0</v>
      </c>
      <c r="N20" s="16">
        <f>Лист1!BB13</f>
        <v>1839.2278655520004</v>
      </c>
      <c r="O20" s="29">
        <f>Лист1!BD13</f>
        <v>8103.102134448001</v>
      </c>
      <c r="P20" s="29">
        <f>Лист1!BE13</f>
        <v>1426.9300000000012</v>
      </c>
      <c r="Q20" s="1"/>
      <c r="R20" s="1"/>
    </row>
    <row r="21" spans="1:18" ht="12.75" hidden="1">
      <c r="A21" s="8" t="s">
        <v>51</v>
      </c>
      <c r="B21" s="104">
        <f>Лист1!B14</f>
        <v>368.6</v>
      </c>
      <c r="C21" s="27">
        <f>Лист1!C14</f>
        <v>3188.3900000000003</v>
      </c>
      <c r="D21" s="105">
        <f>Лист1!D14</f>
        <v>1326.050000000001</v>
      </c>
      <c r="E21" s="14">
        <f>Лист1!S14</f>
        <v>6362.719999999999</v>
      </c>
      <c r="F21" s="16">
        <f>Лист1!T14</f>
        <v>826.6299999999999</v>
      </c>
      <c r="G21" s="28">
        <f>Лист1!AB14</f>
        <v>5175.43</v>
      </c>
      <c r="H21" s="16">
        <f>Лист1!AC14</f>
        <v>7328.1100000000015</v>
      </c>
      <c r="I21" s="28">
        <f>Лист1!AG14</f>
        <v>221.16</v>
      </c>
      <c r="J21" s="14">
        <f>Лист1!AI14+Лист1!AJ14</f>
        <v>364.256336508</v>
      </c>
      <c r="K21" s="14">
        <f>Лист1!AH14+Лист1!AK14+Лист1!AL14+Лист1!AM14+Лист1!AN14+Лист1!AO14+Лист1!AP14+Лист1!AQ14+Лист1!AR14</f>
        <v>1253.4677948</v>
      </c>
      <c r="L21" s="15">
        <f>Лист1!AS14+Лист1!AT14+Лист1!AU14</f>
        <v>0</v>
      </c>
      <c r="M21" s="15">
        <f>Лист1!AX14</f>
        <v>0</v>
      </c>
      <c r="N21" s="16">
        <f>Лист1!BB14</f>
        <v>1838.8841313080002</v>
      </c>
      <c r="O21" s="29">
        <f>Лист1!BD14</f>
        <v>5489.225868692001</v>
      </c>
      <c r="P21" s="29">
        <f>Лист1!BE14</f>
        <v>-1187.289999999999</v>
      </c>
      <c r="Q21" s="1"/>
      <c r="R21" s="1"/>
    </row>
    <row r="22" spans="1:18" ht="12.75" hidden="1">
      <c r="A22" s="8" t="s">
        <v>52</v>
      </c>
      <c r="B22" s="104">
        <f>Лист1!B15</f>
        <v>368.6</v>
      </c>
      <c r="C22" s="27">
        <f>Лист1!C15</f>
        <v>3188.3900000000003</v>
      </c>
      <c r="D22" s="105">
        <f>Лист1!D15</f>
        <v>1326.050000000001</v>
      </c>
      <c r="E22" s="14">
        <f>Лист1!S15</f>
        <v>6362.719999999999</v>
      </c>
      <c r="F22" s="16">
        <f>Лист1!T15</f>
        <v>826.6299999999999</v>
      </c>
      <c r="G22" s="28">
        <f>Лист1!AB15</f>
        <v>3631.48</v>
      </c>
      <c r="H22" s="16">
        <f>Лист1!AC15</f>
        <v>5784.160000000002</v>
      </c>
      <c r="I22" s="28">
        <f>Лист1!AG15</f>
        <v>221.16</v>
      </c>
      <c r="J22" s="14">
        <f>Лист1!AI15+Лист1!AJ15</f>
        <v>364.193486522</v>
      </c>
      <c r="K22" s="14">
        <f>Лист1!AH15+Лист1!AK15+Лист1!AL15+Лист1!AM15+Лист1!AN15+Лист1!AO15+Лист1!AP15+Лист1!AQ15+Лист1!AR15</f>
        <v>4705.9913948712</v>
      </c>
      <c r="L22" s="15">
        <f>Лист1!AS15+Лист1!AT15+Лист1!AU15</f>
        <v>6333.6028</v>
      </c>
      <c r="M22" s="15">
        <f>Лист1!AX15</f>
        <v>0</v>
      </c>
      <c r="N22" s="16">
        <f>Лист1!BB15</f>
        <v>11624.9476813932</v>
      </c>
      <c r="O22" s="29">
        <f>Лист1!BD15</f>
        <v>-5840.787681393198</v>
      </c>
      <c r="P22" s="29">
        <f>Лист1!BE15</f>
        <v>-2731.2399999999993</v>
      </c>
      <c r="Q22" s="1"/>
      <c r="R22" s="1"/>
    </row>
    <row r="23" spans="1:18" ht="12.75" hidden="1">
      <c r="A23" s="8" t="s">
        <v>40</v>
      </c>
      <c r="B23" s="104">
        <f>Лист1!B16</f>
        <v>368.6</v>
      </c>
      <c r="C23" s="27">
        <f>Лист1!C16</f>
        <v>3188.3900000000003</v>
      </c>
      <c r="D23" s="105">
        <f>Лист1!D16</f>
        <v>1083.3200000000004</v>
      </c>
      <c r="E23" s="14">
        <f>Лист1!S16</f>
        <v>7639.24</v>
      </c>
      <c r="F23" s="16">
        <f>Лист1!T16</f>
        <v>464.05</v>
      </c>
      <c r="G23" s="28">
        <f>Лист1!AB16</f>
        <v>2320.97</v>
      </c>
      <c r="H23" s="16">
        <f>Лист1!AC16</f>
        <v>3868.34</v>
      </c>
      <c r="I23" s="28">
        <f>Лист1!AG16</f>
        <v>221.16</v>
      </c>
      <c r="J23" s="14">
        <f>Лист1!AI16+Лист1!AJ16</f>
        <v>368.400956</v>
      </c>
      <c r="K23" s="14">
        <f>Лист1!AH16+Лист1!AK16+Лист1!AL16+Лист1!AM16+Лист1!AN16+Лист1!AO16+Лист1!AP16+Лист1!AQ16+Лист1!AR16</f>
        <v>1264.07684</v>
      </c>
      <c r="L23" s="15">
        <f>Лист1!AS16+Лист1!AT16+Лист1!AU16</f>
        <v>0</v>
      </c>
      <c r="M23" s="15">
        <f>Лист1!AX16</f>
        <v>0</v>
      </c>
      <c r="N23" s="16">
        <f>Лист1!BB16</f>
        <v>1853.637796</v>
      </c>
      <c r="O23" s="29">
        <f>Лист1!BD16</f>
        <v>2014.7022040000002</v>
      </c>
      <c r="P23" s="29">
        <f>Лист1!BE16</f>
        <v>-5318.27</v>
      </c>
      <c r="Q23" s="1"/>
      <c r="R23" s="1"/>
    </row>
    <row r="24" spans="1:18" ht="12.75" hidden="1">
      <c r="A24" s="8" t="s">
        <v>41</v>
      </c>
      <c r="B24" s="104">
        <f>Лист1!B17</f>
        <v>368.6</v>
      </c>
      <c r="C24" s="27">
        <f>Лист1!C17</f>
        <v>3188.3900000000003</v>
      </c>
      <c r="D24" s="105">
        <f>Лист1!D17</f>
        <v>1083.3200000000008</v>
      </c>
      <c r="E24" s="14">
        <f>Лист1!S17</f>
        <v>7000.9800000000005</v>
      </c>
      <c r="F24" s="16">
        <f>Лист1!T17</f>
        <v>1102.31</v>
      </c>
      <c r="G24" s="28">
        <f>Лист1!AB17</f>
        <v>6460.8</v>
      </c>
      <c r="H24" s="16">
        <f>Лист1!AC17</f>
        <v>8646.43</v>
      </c>
      <c r="I24" s="28">
        <f>Лист1!AG17</f>
        <v>221.16</v>
      </c>
      <c r="J24" s="14">
        <f>Лист1!AI17+Лист1!AJ17</f>
        <v>369.7058</v>
      </c>
      <c r="K24" s="14">
        <f>Лист1!AH17+Лист1!AK17+Лист1!AL17+Лист1!AM17+Лист1!AN17+Лист1!AO17+Лист1!AP17+Лист1!AQ17+Лист1!AR17</f>
        <v>1265.4775200000001</v>
      </c>
      <c r="L24" s="15">
        <f>Лист1!AS17+Лист1!AT17+Лист1!AU17</f>
        <v>0</v>
      </c>
      <c r="M24" s="15">
        <f>Лист1!AX17</f>
        <v>0</v>
      </c>
      <c r="N24" s="16">
        <f>Лист1!BB17</f>
        <v>1856.34332</v>
      </c>
      <c r="O24" s="29">
        <f>Лист1!BD17</f>
        <v>6790.08668</v>
      </c>
      <c r="P24" s="29">
        <f>Лист1!BE17</f>
        <v>-540.1800000000003</v>
      </c>
      <c r="Q24" s="1"/>
      <c r="R24" s="1"/>
    </row>
    <row r="25" spans="1:18" ht="13.5" hidden="1" thickBot="1">
      <c r="A25" s="30" t="s">
        <v>42</v>
      </c>
      <c r="B25" s="104">
        <f>Лист1!B18</f>
        <v>368.6</v>
      </c>
      <c r="C25" s="27">
        <f>Лист1!C18</f>
        <v>3188.3900000000003</v>
      </c>
      <c r="D25" s="105">
        <f>Лист1!D18</f>
        <v>1083.3200000000008</v>
      </c>
      <c r="E25" s="14">
        <f>Лист1!S18</f>
        <v>1627.67</v>
      </c>
      <c r="F25" s="16">
        <f>Лист1!T18</f>
        <v>477.40000000000003</v>
      </c>
      <c r="G25" s="28">
        <f>Лист1!AB18</f>
        <v>1004.8</v>
      </c>
      <c r="H25" s="16">
        <f>Лист1!AC18</f>
        <v>2565.520000000001</v>
      </c>
      <c r="I25" s="28">
        <f>Лист1!AG18</f>
        <v>221.16</v>
      </c>
      <c r="J25" s="14">
        <f>Лист1!AI18+Лист1!AJ18</f>
        <v>369.7058</v>
      </c>
      <c r="K25" s="14">
        <f>Лист1!AH18+Лист1!AK18+Лист1!AL18+Лист1!AM18+Лист1!AN18+Лист1!AO18+Лист1!AP18+Лист1!AQ18+Лист1!AR18</f>
        <v>1265.4775200000001</v>
      </c>
      <c r="L25" s="15">
        <f>Лист1!AS18+Лист1!AT18+Лист1!AU18</f>
        <v>0</v>
      </c>
      <c r="M25" s="15">
        <f>Лист1!AX18</f>
        <v>0</v>
      </c>
      <c r="N25" s="16">
        <f>Лист1!BB18</f>
        <v>1856.34332</v>
      </c>
      <c r="O25" s="29">
        <f>Лист1!BD18</f>
        <v>709.1766800000009</v>
      </c>
      <c r="P25" s="29">
        <f>Лист1!BE18</f>
        <v>-622.8700000000001</v>
      </c>
      <c r="Q25" s="1"/>
      <c r="R25" s="1"/>
    </row>
    <row r="26" spans="1:18" s="17" customFormat="1" ht="13.5" hidden="1" thickBot="1">
      <c r="A26" s="31" t="s">
        <v>5</v>
      </c>
      <c r="B26" s="32"/>
      <c r="C26" s="36">
        <f aca="true" t="shared" si="0" ref="C26:O26">SUM(C16:C25)</f>
        <v>31883.899999999998</v>
      </c>
      <c r="D26" s="36">
        <f t="shared" si="0"/>
        <v>10434.577500000009</v>
      </c>
      <c r="E26" s="36">
        <f t="shared" si="0"/>
        <v>58182.76</v>
      </c>
      <c r="F26" s="36">
        <f t="shared" si="0"/>
        <v>9787.919999999998</v>
      </c>
      <c r="G26" s="36">
        <f t="shared" si="0"/>
        <v>38690.96000000001</v>
      </c>
      <c r="H26" s="36">
        <f t="shared" si="0"/>
        <v>58913.45750000001</v>
      </c>
      <c r="I26" s="36">
        <f t="shared" si="0"/>
        <v>2167.3680000000004</v>
      </c>
      <c r="J26" s="36">
        <f t="shared" si="0"/>
        <v>3590.9718469900004</v>
      </c>
      <c r="K26" s="36">
        <f t="shared" si="0"/>
        <v>19041.0984364192</v>
      </c>
      <c r="L26" s="36">
        <f t="shared" si="0"/>
        <v>6333.6028</v>
      </c>
      <c r="M26" s="36">
        <f t="shared" si="0"/>
        <v>0</v>
      </c>
      <c r="N26" s="36">
        <f t="shared" si="0"/>
        <v>31133.0410834092</v>
      </c>
      <c r="O26" s="36">
        <f t="shared" si="0"/>
        <v>27780.416416590808</v>
      </c>
      <c r="P26" s="36">
        <f>SUM(P16:P25)</f>
        <v>-19491.799999999996</v>
      </c>
      <c r="Q26" s="37"/>
      <c r="R26" s="37"/>
    </row>
    <row r="27" spans="1:18" ht="12.75">
      <c r="A27" s="6" t="s">
        <v>70</v>
      </c>
      <c r="B27" s="106"/>
      <c r="C27" s="38"/>
      <c r="D27" s="107"/>
      <c r="E27" s="39"/>
      <c r="F27" s="40"/>
      <c r="G27" s="41"/>
      <c r="H27" s="40"/>
      <c r="I27" s="41"/>
      <c r="J27" s="14"/>
      <c r="K27" s="14"/>
      <c r="L27" s="15"/>
      <c r="M27" s="108"/>
      <c r="N27" s="16"/>
      <c r="O27" s="29"/>
      <c r="P27" s="29"/>
      <c r="Q27" s="1"/>
      <c r="R27" s="1"/>
    </row>
    <row r="28" spans="1:18" ht="12.75">
      <c r="A28" s="8" t="s">
        <v>44</v>
      </c>
      <c r="B28" s="104">
        <f>Лист1!B21</f>
        <v>368.6</v>
      </c>
      <c r="C28" s="27">
        <f>Лист1!C21</f>
        <v>3188.3900000000003</v>
      </c>
      <c r="D28" s="105">
        <f>Лист1!D21</f>
        <v>1083.3100000000002</v>
      </c>
      <c r="E28" s="14">
        <f>Лист1!S21</f>
        <v>1627.68</v>
      </c>
      <c r="F28" s="16">
        <f>Лист1!T21</f>
        <v>477.40000000000003</v>
      </c>
      <c r="G28" s="28">
        <f>Лист1!AB21</f>
        <v>467.57000000000005</v>
      </c>
      <c r="H28" s="16">
        <f>Лист1!AC21</f>
        <v>2028.2800000000002</v>
      </c>
      <c r="I28" s="28">
        <f>Лист1!AG21</f>
        <v>221.16</v>
      </c>
      <c r="J28" s="14">
        <f>Лист1!AI21+Лист1!AJ21</f>
        <v>368.6</v>
      </c>
      <c r="K28" s="14">
        <f>Лист1!AH21+Лист1!AK21+Лист1!AL21+Лист1!AM21+Лист1!AN21+Лист1!AO21+Лист1!AP21+Лист1!AQ21+Лист1!AR21</f>
        <v>1264.298</v>
      </c>
      <c r="L28" s="15">
        <f>Лист1!AS21+Лист1!AT21+Лист1!AU21</f>
        <v>0</v>
      </c>
      <c r="M28" s="15">
        <f>Лист1!AX21</f>
        <v>106.67999999999999</v>
      </c>
      <c r="N28" s="16">
        <f>Лист1!BB21</f>
        <v>1960.7379999999998</v>
      </c>
      <c r="O28" s="29">
        <f>Лист1!BD21</f>
        <v>67.54200000000037</v>
      </c>
      <c r="P28" s="29">
        <f>Лист1!BE21</f>
        <v>-1160.1100000000001</v>
      </c>
      <c r="Q28" s="1"/>
      <c r="R28" s="1"/>
    </row>
    <row r="29" spans="1:18" ht="12.75">
      <c r="A29" s="8" t="s">
        <v>45</v>
      </c>
      <c r="B29" s="104">
        <f>Лист1!B22</f>
        <v>368.6</v>
      </c>
      <c r="C29" s="27">
        <f>Лист1!C22</f>
        <v>3188.3900000000003</v>
      </c>
      <c r="D29" s="105">
        <f>Лист1!D22</f>
        <v>1083.3200000000008</v>
      </c>
      <c r="E29" s="14">
        <f>Лист1!S22</f>
        <v>1627.67</v>
      </c>
      <c r="F29" s="16">
        <f>Лист1!T22</f>
        <v>477.40000000000003</v>
      </c>
      <c r="G29" s="28">
        <f>Лист1!AB22</f>
        <v>1863.2099999999998</v>
      </c>
      <c r="H29" s="16">
        <f>Лист1!AC22</f>
        <v>3423.9300000000007</v>
      </c>
      <c r="I29" s="28">
        <f>Лист1!AG22</f>
        <v>221.16</v>
      </c>
      <c r="J29" s="14">
        <f>Лист1!AI22+Лист1!AJ22</f>
        <v>368.6</v>
      </c>
      <c r="K29" s="14">
        <f>Лист1!AH22+Лист1!AK22+Лист1!AL22+Лист1!AM22+Лист1!AN22+Лист1!AO22+Лист1!AP22+Лист1!AQ22+Лист1!AR22</f>
        <v>1264.298</v>
      </c>
      <c r="L29" s="15">
        <f>Лист1!AS22+Лист1!AT22+Лист1!AU22</f>
        <v>0</v>
      </c>
      <c r="M29" s="15">
        <f>Лист1!AX22</f>
        <v>85.46999999999998</v>
      </c>
      <c r="N29" s="16">
        <f>Лист1!BB22</f>
        <v>1939.5279999999998</v>
      </c>
      <c r="O29" s="29">
        <f>Лист1!BD22</f>
        <v>1484.402000000001</v>
      </c>
      <c r="P29" s="29">
        <f>Лист1!BE22</f>
        <v>235.53999999999974</v>
      </c>
      <c r="Q29" s="1"/>
      <c r="R29" s="1"/>
    </row>
    <row r="30" spans="1:18" ht="12.75">
      <c r="A30" s="8" t="s">
        <v>46</v>
      </c>
      <c r="B30" s="104">
        <f>Лист1!B23</f>
        <v>368.6</v>
      </c>
      <c r="C30" s="27">
        <f>Лист1!C23</f>
        <v>3188.3900000000003</v>
      </c>
      <c r="D30" s="105">
        <f>Лист1!D23</f>
        <v>1083.3200000000008</v>
      </c>
      <c r="E30" s="14">
        <f>Лист1!S23</f>
        <v>1627.67</v>
      </c>
      <c r="F30" s="16">
        <f>Лист1!T23</f>
        <v>477.40000000000003</v>
      </c>
      <c r="G30" s="28">
        <f>Лист1!AB23</f>
        <v>585.35</v>
      </c>
      <c r="H30" s="16">
        <f>Лист1!AC23</f>
        <v>2146.070000000001</v>
      </c>
      <c r="I30" s="28">
        <f>Лист1!AG23</f>
        <v>221.16</v>
      </c>
      <c r="J30" s="14">
        <f>Лист1!AI23+Лист1!AJ23</f>
        <v>368.6</v>
      </c>
      <c r="K30" s="14">
        <f>Лист1!AH23+Лист1!AK23+Лист1!AL23+Лист1!AM23+Лист1!AN23+Лист1!AO23+Лист1!AP23+Лист1!AQ23+Лист1!AR23</f>
        <v>1264.298</v>
      </c>
      <c r="L30" s="15">
        <f>Лист1!AS23+Лист1!AT23+Лист1!AU23</f>
        <v>0</v>
      </c>
      <c r="M30" s="15">
        <f>Лист1!AX23</f>
        <v>80.42999999999999</v>
      </c>
      <c r="N30" s="16">
        <f>Лист1!BB23</f>
        <v>1934.4879999999998</v>
      </c>
      <c r="O30" s="29">
        <f>Лист1!BD23</f>
        <v>211.58200000000124</v>
      </c>
      <c r="P30" s="29">
        <f>Лист1!BE23</f>
        <v>-1042.3200000000002</v>
      </c>
      <c r="Q30" s="1"/>
      <c r="R30" s="1"/>
    </row>
    <row r="31" spans="1:18" ht="12.75">
      <c r="A31" s="8" t="s">
        <v>47</v>
      </c>
      <c r="B31" s="104">
        <f>Лист1!B24</f>
        <v>368.6</v>
      </c>
      <c r="C31" s="27">
        <f>Лист1!C24</f>
        <v>3188.3900000000003</v>
      </c>
      <c r="D31" s="105">
        <f>Лист1!D24</f>
        <v>1086.0600000000013</v>
      </c>
      <c r="E31" s="14">
        <f>Лист1!S24</f>
        <v>1624.9299999999998</v>
      </c>
      <c r="F31" s="16">
        <f>Лист1!T24</f>
        <v>477.40000000000003</v>
      </c>
      <c r="G31" s="28">
        <f>Лист1!AB24</f>
        <v>2846.85</v>
      </c>
      <c r="H31" s="16">
        <f>Лист1!AC24</f>
        <v>4410.310000000001</v>
      </c>
      <c r="I31" s="28">
        <f>Лист1!AG24</f>
        <v>221.16</v>
      </c>
      <c r="J31" s="14">
        <f>Лист1!AI24+Лист1!AJ24</f>
        <v>368.6</v>
      </c>
      <c r="K31" s="14">
        <f>Лист1!AH24+Лист1!AK24+Лист1!AL24+Лист1!AM24+Лист1!AN24+Лист1!AO24+Лист1!AP24+Лист1!AQ24+Лист1!AR24</f>
        <v>1264.298</v>
      </c>
      <c r="L31" s="15">
        <f>Лист1!AS24+Лист1!AT24+Лист1!AU24</f>
        <v>0</v>
      </c>
      <c r="M31" s="15">
        <f>Лист1!AX24</f>
        <v>64.47</v>
      </c>
      <c r="N31" s="16">
        <f>Лист1!BB24</f>
        <v>1918.5279999999998</v>
      </c>
      <c r="O31" s="29">
        <f>Лист1!BD24</f>
        <v>2491.7820000000015</v>
      </c>
      <c r="P31" s="29">
        <f>Лист1!BE24</f>
        <v>1221.92</v>
      </c>
      <c r="Q31" s="1"/>
      <c r="R31" s="1"/>
    </row>
    <row r="32" spans="1:18" ht="12.75">
      <c r="A32" s="8" t="s">
        <v>48</v>
      </c>
      <c r="B32" s="104">
        <f>Лист1!B25</f>
        <v>368.6</v>
      </c>
      <c r="C32" s="27">
        <f>Лист1!C25</f>
        <v>3188.3900000000003</v>
      </c>
      <c r="D32" s="105">
        <f>Лист1!D25</f>
        <v>1090.7800000000002</v>
      </c>
      <c r="E32" s="14">
        <f>Лист1!S25</f>
        <v>1620.21</v>
      </c>
      <c r="F32" s="16">
        <f>Лист1!T25</f>
        <v>477.40000000000003</v>
      </c>
      <c r="G32" s="28">
        <f>Лист1!AB25</f>
        <v>1191.6</v>
      </c>
      <c r="H32" s="16">
        <f>Лист1!AC25</f>
        <v>2759.78</v>
      </c>
      <c r="I32" s="28">
        <f>Лист1!AG25</f>
        <v>221.16</v>
      </c>
      <c r="J32" s="14">
        <f>Лист1!AI25+Лист1!AJ25</f>
        <v>368.6</v>
      </c>
      <c r="K32" s="14">
        <f>Лист1!AH25+Лист1!AK25+Лист1!AL25+Лист1!AM25+Лист1!AN25+Лист1!AO25+Лист1!AP25+Лист1!AQ25+Лист1!AR25</f>
        <v>1264.298</v>
      </c>
      <c r="L32" s="15">
        <f>Лист1!AS25+Лист1!AT25+Лист1!AU25</f>
        <v>0</v>
      </c>
      <c r="M32" s="15">
        <f>Лист1!AX25</f>
        <v>55.22999999999999</v>
      </c>
      <c r="N32" s="16">
        <f>Лист1!BB25</f>
        <v>1909.288</v>
      </c>
      <c r="O32" s="29">
        <f>Лист1!BD25</f>
        <v>850.4920000000002</v>
      </c>
      <c r="P32" s="29">
        <f>Лист1!BE25</f>
        <v>-428.6100000000001</v>
      </c>
      <c r="Q32" s="1"/>
      <c r="R32" s="1"/>
    </row>
    <row r="33" spans="1:18" ht="12.75">
      <c r="A33" s="8" t="s">
        <v>49</v>
      </c>
      <c r="B33" s="104">
        <f>Лист1!B26</f>
        <v>368.6</v>
      </c>
      <c r="C33" s="27">
        <f>Лист1!C26</f>
        <v>3188.3900000000003</v>
      </c>
      <c r="D33" s="105">
        <f>Лист1!D26</f>
        <v>1090.7600000000004</v>
      </c>
      <c r="E33" s="14">
        <f>Лист1!S26</f>
        <v>1620.23</v>
      </c>
      <c r="F33" s="16">
        <f>Лист1!T26</f>
        <v>477.40000000000003</v>
      </c>
      <c r="G33" s="28">
        <f>Лист1!AB26</f>
        <v>109.02000000000001</v>
      </c>
      <c r="H33" s="16">
        <f>Лист1!AC26</f>
        <v>1677.1800000000005</v>
      </c>
      <c r="I33" s="28">
        <f>Лист1!AG26</f>
        <v>221.16</v>
      </c>
      <c r="J33" s="14">
        <f>Лист1!AI26+Лист1!AJ26</f>
        <v>368.6</v>
      </c>
      <c r="K33" s="14">
        <f>Лист1!AH26+Лист1!AK26+Лист1!AL26+Лист1!AM26+Лист1!AN26+Лист1!AO26+Лист1!AP26+Лист1!AQ26+Лист1!AR26</f>
        <v>1264.298</v>
      </c>
      <c r="L33" s="15">
        <f>Лист1!AS26+Лист1!AT26+Лист1!AU26</f>
        <v>0</v>
      </c>
      <c r="M33" s="15">
        <f>Лист1!AX26</f>
        <v>-1316.2799999999997</v>
      </c>
      <c r="N33" s="16">
        <f>Лист1!BB26</f>
        <v>537.7779999999999</v>
      </c>
      <c r="O33" s="29">
        <f>Лист1!BD26</f>
        <v>1139.4020000000005</v>
      </c>
      <c r="P33" s="29">
        <f>Лист1!BE26</f>
        <v>-1511.21</v>
      </c>
      <c r="Q33" s="1"/>
      <c r="R33" s="1"/>
    </row>
    <row r="34" spans="1:18" ht="12.75">
      <c r="A34" s="8" t="s">
        <v>50</v>
      </c>
      <c r="B34" s="104">
        <f>Лист1!B27</f>
        <v>368.6</v>
      </c>
      <c r="C34" s="27">
        <f>Лист1!C27</f>
        <v>3188.3900000000003</v>
      </c>
      <c r="D34" s="105">
        <f>Лист1!D27</f>
        <v>1090.7600000000002</v>
      </c>
      <c r="E34" s="14">
        <f>Лист1!S27</f>
        <v>2097.63</v>
      </c>
      <c r="F34" s="16">
        <f>Лист1!T27</f>
        <v>0</v>
      </c>
      <c r="G34" s="28">
        <f>Лист1!AB27</f>
        <v>207.16000000000003</v>
      </c>
      <c r="H34" s="16">
        <f>Лист1!AC27</f>
        <v>1297.9200000000003</v>
      </c>
      <c r="I34" s="28">
        <f>Лист1!AG27</f>
        <v>221.16</v>
      </c>
      <c r="J34" s="14">
        <f>Лист1!AI27+Лист1!AJ27</f>
        <v>368.6</v>
      </c>
      <c r="K34" s="14">
        <f>Лист1!AH27+Лист1!AK27+Лист1!AL27+Лист1!AM27+Лист1!AN27+Лист1!AO27+Лист1!AP27+Лист1!AQ27+Лист1!AR27</f>
        <v>1264.298</v>
      </c>
      <c r="L34" s="15">
        <f>Лист1!AS27+Лист1!AT27+Лист1!AU27</f>
        <v>0</v>
      </c>
      <c r="M34" s="15">
        <f>Лист1!AX27</f>
        <v>0</v>
      </c>
      <c r="N34" s="16">
        <f>Лист1!BB27</f>
        <v>1854.058</v>
      </c>
      <c r="O34" s="29">
        <f>Лист1!BD27</f>
        <v>-556.1379999999997</v>
      </c>
      <c r="P34" s="29">
        <f>Лист1!BE27</f>
        <v>-1890.47</v>
      </c>
      <c r="Q34" s="1"/>
      <c r="R34" s="1"/>
    </row>
    <row r="35" spans="1:18" ht="12.75">
      <c r="A35" s="8" t="s">
        <v>51</v>
      </c>
      <c r="B35" s="104">
        <f>Лист1!B28</f>
        <v>368.6</v>
      </c>
      <c r="C35" s="27">
        <f>Лист1!C28</f>
        <v>3188.3900000000003</v>
      </c>
      <c r="D35" s="105">
        <f>Лист1!D28</f>
        <v>1090.7600000000002</v>
      </c>
      <c r="E35" s="14">
        <f>Лист1!S28</f>
        <v>2097.63</v>
      </c>
      <c r="F35" s="16">
        <f>Лист1!T28</f>
        <v>0</v>
      </c>
      <c r="G35" s="28">
        <f>Лист1!AB28</f>
        <v>1720.5900000000001</v>
      </c>
      <c r="H35" s="16">
        <f>Лист1!AC28</f>
        <v>2811.3500000000004</v>
      </c>
      <c r="I35" s="28">
        <f>Лист1!AG28</f>
        <v>221.16</v>
      </c>
      <c r="J35" s="14">
        <f>Лист1!AI28+Лист1!AJ28</f>
        <v>368.6</v>
      </c>
      <c r="K35" s="14">
        <f>Лист1!AH28+Лист1!AK28+Лист1!AL28+Лист1!AM28+Лист1!AN28+Лист1!AO28+Лист1!AP28+Лист1!AQ28+Лист1!AR28</f>
        <v>1264.298</v>
      </c>
      <c r="L35" s="15">
        <f>Лист1!AS28+Лист1!AT28+Лист1!AU28</f>
        <v>47.8</v>
      </c>
      <c r="M35" s="15">
        <f>Лист1!AX28</f>
        <v>0</v>
      </c>
      <c r="N35" s="16">
        <f>Лист1!BB28</f>
        <v>1901.8580000000002</v>
      </c>
      <c r="O35" s="29">
        <f>Лист1!BD28</f>
        <v>909.4920000000002</v>
      </c>
      <c r="P35" s="29">
        <f>Лист1!BE28</f>
        <v>-377.03999999999996</v>
      </c>
      <c r="Q35" s="1"/>
      <c r="R35" s="1"/>
    </row>
    <row r="36" spans="1:18" ht="12.75">
      <c r="A36" s="8" t="s">
        <v>52</v>
      </c>
      <c r="B36" s="104">
        <f>Лист1!B29</f>
        <v>368.6</v>
      </c>
      <c r="C36" s="27">
        <f>Лист1!C29</f>
        <v>3188.3900000000003</v>
      </c>
      <c r="D36" s="105">
        <f>Лист1!D29</f>
        <v>1090.7600000000002</v>
      </c>
      <c r="E36" s="14">
        <f>Лист1!S29</f>
        <v>2097.63</v>
      </c>
      <c r="F36" s="16">
        <f>Лист1!T29</f>
        <v>0</v>
      </c>
      <c r="G36" s="28">
        <f>Лист1!AB29</f>
        <v>2176.7400000000002</v>
      </c>
      <c r="H36" s="16">
        <f>Лист1!AC29</f>
        <v>3267.5000000000005</v>
      </c>
      <c r="I36" s="28">
        <f>Лист1!AG29</f>
        <v>221.16</v>
      </c>
      <c r="J36" s="14">
        <f>Лист1!AI29+Лист1!AJ29</f>
        <v>368.6</v>
      </c>
      <c r="K36" s="14">
        <f>Лист1!AH29+Лист1!AK29+Лист1!AL29+Лист1!AM29+Лист1!AN29+Лист1!AO29+Лист1!AP29+Лист1!AQ29+Лист1!AR29</f>
        <v>1264.298</v>
      </c>
      <c r="L36" s="15">
        <f>Лист1!AS29+Лист1!AT29+Лист1!AU29</f>
        <v>0</v>
      </c>
      <c r="M36" s="15">
        <f>Лист1!AX29</f>
        <v>0</v>
      </c>
      <c r="N36" s="16">
        <f>Лист1!BB29</f>
        <v>1854.058</v>
      </c>
      <c r="O36" s="29">
        <f>Лист1!BD29</f>
        <v>1413.4420000000005</v>
      </c>
      <c r="P36" s="29">
        <f>Лист1!BE29</f>
        <v>79.11000000000013</v>
      </c>
      <c r="Q36" s="1"/>
      <c r="R36" s="1"/>
    </row>
    <row r="37" spans="1:18" ht="12.75">
      <c r="A37" s="8" t="s">
        <v>40</v>
      </c>
      <c r="B37" s="104">
        <f>Лист1!B30</f>
        <v>368.6</v>
      </c>
      <c r="C37" s="27">
        <f>Лист1!C30</f>
        <v>3188.3900000000003</v>
      </c>
      <c r="D37" s="105">
        <f>Лист1!D30</f>
        <v>1090.7600000000002</v>
      </c>
      <c r="E37" s="14">
        <f>Лист1!S30</f>
        <v>2097.63</v>
      </c>
      <c r="F37" s="16">
        <f>Лист1!T30</f>
        <v>0</v>
      </c>
      <c r="G37" s="28">
        <f>Лист1!AB30</f>
        <v>2339.25</v>
      </c>
      <c r="H37" s="16">
        <f>Лист1!AC30</f>
        <v>3430.01</v>
      </c>
      <c r="I37" s="28">
        <f>Лист1!AG30</f>
        <v>221.16</v>
      </c>
      <c r="J37" s="14">
        <f>Лист1!AI30+Лист1!AJ30</f>
        <v>368.6</v>
      </c>
      <c r="K37" s="14">
        <f>Лист1!AH30+Лист1!AK30+Лист1!AL30+Лист1!AM30+Лист1!AN30+Лист1!AO30+Лист1!AP30+Лист1!AQ30+Лист1!AR30</f>
        <v>1264.298</v>
      </c>
      <c r="L37" s="15">
        <f>Лист1!AS30+Лист1!AT30+Лист1!AU30</f>
        <v>0</v>
      </c>
      <c r="M37" s="15">
        <f>Лист1!AX30</f>
        <v>0</v>
      </c>
      <c r="N37" s="16">
        <f>Лист1!BB30</f>
        <v>1854.058</v>
      </c>
      <c r="O37" s="29">
        <f>Лист1!BD30</f>
        <v>1575.9520000000002</v>
      </c>
      <c r="P37" s="29">
        <f>Лист1!BE30</f>
        <v>241.6199999999999</v>
      </c>
      <c r="Q37" s="1"/>
      <c r="R37" s="1"/>
    </row>
    <row r="38" spans="1:18" ht="12.75">
      <c r="A38" s="8" t="s">
        <v>41</v>
      </c>
      <c r="B38" s="104">
        <f>Лист1!B31</f>
        <v>368.6</v>
      </c>
      <c r="C38" s="27">
        <f>Лист1!C31</f>
        <v>3188.3900000000003</v>
      </c>
      <c r="D38" s="105">
        <f>Лист1!D31</f>
        <v>1090.7600000000002</v>
      </c>
      <c r="E38" s="14">
        <f>Лист1!S31</f>
        <v>2097.63</v>
      </c>
      <c r="F38" s="16">
        <f>Лист1!T31</f>
        <v>0</v>
      </c>
      <c r="G38" s="28">
        <f>Лист1!AB31</f>
        <v>3864.88</v>
      </c>
      <c r="H38" s="16">
        <f>Лист1!AC31</f>
        <v>4955.64</v>
      </c>
      <c r="I38" s="28">
        <f>Лист1!AG31</f>
        <v>221.16</v>
      </c>
      <c r="J38" s="14">
        <f>Лист1!AI31+Лист1!AJ31</f>
        <v>368.6</v>
      </c>
      <c r="K38" s="14">
        <f>Лист1!AH31+Лист1!AK31+Лист1!AL31+Лист1!AM31+Лист1!AN31+Лист1!AO31+Лист1!AP31+Лист1!AQ31+Лист1!AR31</f>
        <v>1264.298</v>
      </c>
      <c r="L38" s="15">
        <f>Лист1!AS31+Лист1!AT31+Лист1!AU31</f>
        <v>0</v>
      </c>
      <c r="M38" s="15">
        <f>Лист1!AX31</f>
        <v>0</v>
      </c>
      <c r="N38" s="16">
        <f>Лист1!BB31</f>
        <v>1854.058</v>
      </c>
      <c r="O38" s="29">
        <f>Лист1!BD31</f>
        <v>3101.5820000000003</v>
      </c>
      <c r="P38" s="29">
        <f>Лист1!BE31</f>
        <v>1767.25</v>
      </c>
      <c r="Q38" s="1"/>
      <c r="R38" s="1"/>
    </row>
    <row r="39" spans="1:18" ht="13.5" thickBot="1">
      <c r="A39" s="30" t="s">
        <v>42</v>
      </c>
      <c r="B39" s="104">
        <f>Лист1!B32</f>
        <v>368.6</v>
      </c>
      <c r="C39" s="27">
        <f>Лист1!C32</f>
        <v>3188.3900000000003</v>
      </c>
      <c r="D39" s="105">
        <f>Лист1!D32</f>
        <v>1090.7600000000002</v>
      </c>
      <c r="E39" s="14">
        <f>Лист1!S32</f>
        <v>2097.63</v>
      </c>
      <c r="F39" s="16">
        <f>Лист1!T32</f>
        <v>0</v>
      </c>
      <c r="G39" s="28">
        <f>Лист1!AB32</f>
        <v>2419.92</v>
      </c>
      <c r="H39" s="16">
        <f>Лист1!AC32</f>
        <v>3510.6800000000003</v>
      </c>
      <c r="I39" s="28">
        <f>Лист1!AG32</f>
        <v>221.16</v>
      </c>
      <c r="J39" s="14">
        <f>Лист1!AI32+Лист1!AJ32</f>
        <v>368.6</v>
      </c>
      <c r="K39" s="14">
        <f>Лист1!AH32+Лист1!AK32+Лист1!AL32+Лист1!AM32+Лист1!AN32+Лист1!AO32+Лист1!AP32+Лист1!AQ32+Лист1!AR32</f>
        <v>1264.298</v>
      </c>
      <c r="L39" s="15">
        <f>Лист1!AS32+Лист1!AT32+Лист1!AU32</f>
        <v>0</v>
      </c>
      <c r="M39" s="15">
        <f>Лист1!AX32</f>
        <v>0</v>
      </c>
      <c r="N39" s="16">
        <f>Лист1!BB32</f>
        <v>1854.058</v>
      </c>
      <c r="O39" s="29">
        <f>Лист1!BD32</f>
        <v>1656.6220000000003</v>
      </c>
      <c r="P39" s="29">
        <f>Лист1!BE32</f>
        <v>322.28999999999996</v>
      </c>
      <c r="Q39" s="1"/>
      <c r="R39" s="1"/>
    </row>
    <row r="40" spans="1:18" s="17" customFormat="1" ht="13.5" thickBot="1">
      <c r="A40" s="31" t="s">
        <v>5</v>
      </c>
      <c r="B40" s="32"/>
      <c r="C40" s="33">
        <f aca="true" t="shared" si="1" ref="C40:P40">SUM(C28:C39)</f>
        <v>38260.68</v>
      </c>
      <c r="D40" s="34">
        <f t="shared" si="1"/>
        <v>13062.110000000004</v>
      </c>
      <c r="E40" s="33">
        <f t="shared" si="1"/>
        <v>22334.170000000006</v>
      </c>
      <c r="F40" s="35">
        <f t="shared" si="1"/>
        <v>2864.4</v>
      </c>
      <c r="G40" s="34">
        <f t="shared" si="1"/>
        <v>19792.14</v>
      </c>
      <c r="H40" s="35">
        <f t="shared" si="1"/>
        <v>35718.65000000001</v>
      </c>
      <c r="I40" s="34">
        <f t="shared" si="1"/>
        <v>2653.92</v>
      </c>
      <c r="J40" s="33">
        <f t="shared" si="1"/>
        <v>4423.2</v>
      </c>
      <c r="K40" s="33">
        <f t="shared" si="1"/>
        <v>15171.576000000003</v>
      </c>
      <c r="L40" s="33">
        <f t="shared" si="1"/>
        <v>47.8</v>
      </c>
      <c r="M40" s="33">
        <f t="shared" si="1"/>
        <v>-923.9999999999998</v>
      </c>
      <c r="N40" s="35">
        <f t="shared" si="1"/>
        <v>21372.496000000003</v>
      </c>
      <c r="O40" s="36">
        <f t="shared" si="1"/>
        <v>14346.154000000006</v>
      </c>
      <c r="P40" s="36">
        <f t="shared" si="1"/>
        <v>-2542.0300000000007</v>
      </c>
      <c r="Q40" s="37"/>
      <c r="R40" s="37"/>
    </row>
    <row r="41" spans="1:18" ht="13.5" thickBot="1">
      <c r="A41" s="185" t="s">
        <v>67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42"/>
      <c r="Q41" s="1"/>
      <c r="R41" s="1"/>
    </row>
    <row r="42" spans="1:18" s="17" customFormat="1" ht="13.5" thickBot="1">
      <c r="A42" s="43" t="s">
        <v>53</v>
      </c>
      <c r="B42" s="44"/>
      <c r="C42" s="109">
        <f aca="true" t="shared" si="2" ref="C42:O42">C40+C26</f>
        <v>70144.58</v>
      </c>
      <c r="D42" s="109">
        <f t="shared" si="2"/>
        <v>23496.687500000015</v>
      </c>
      <c r="E42" s="109">
        <f t="shared" si="2"/>
        <v>80516.93000000001</v>
      </c>
      <c r="F42" s="109">
        <f t="shared" si="2"/>
        <v>12652.319999999998</v>
      </c>
      <c r="G42" s="109">
        <f t="shared" si="2"/>
        <v>58483.100000000006</v>
      </c>
      <c r="H42" s="109">
        <f t="shared" si="2"/>
        <v>94632.10750000001</v>
      </c>
      <c r="I42" s="109">
        <f t="shared" si="2"/>
        <v>4821.2880000000005</v>
      </c>
      <c r="J42" s="109">
        <f t="shared" si="2"/>
        <v>8014.171846990001</v>
      </c>
      <c r="K42" s="109">
        <f t="shared" si="2"/>
        <v>34212.674436419205</v>
      </c>
      <c r="L42" s="109">
        <f t="shared" si="2"/>
        <v>6381.4028</v>
      </c>
      <c r="M42" s="109">
        <f t="shared" si="2"/>
        <v>-923.9999999999998</v>
      </c>
      <c r="N42" s="109">
        <f t="shared" si="2"/>
        <v>52505.5370834092</v>
      </c>
      <c r="O42" s="109">
        <f t="shared" si="2"/>
        <v>42126.57041659081</v>
      </c>
      <c r="P42" s="109">
        <f>P40+P26</f>
        <v>-22033.829999999994</v>
      </c>
      <c r="Q42" s="45"/>
      <c r="R42" s="37"/>
    </row>
    <row r="44" spans="1:20" ht="12.75">
      <c r="A44" s="17" t="s">
        <v>83</v>
      </c>
      <c r="D44" s="131" t="s">
        <v>84</v>
      </c>
      <c r="S44" s="1"/>
      <c r="T44" s="1"/>
    </row>
    <row r="45" spans="1:20" ht="12.75">
      <c r="A45" s="96" t="s">
        <v>85</v>
      </c>
      <c r="B45" s="96" t="s">
        <v>86</v>
      </c>
      <c r="C45" s="182" t="s">
        <v>87</v>
      </c>
      <c r="D45" s="182"/>
      <c r="S45" s="1"/>
      <c r="T45" s="1"/>
    </row>
    <row r="46" spans="1:20" ht="12.75">
      <c r="A46" s="132">
        <v>12039.02</v>
      </c>
      <c r="B46" s="132">
        <v>12053</v>
      </c>
      <c r="C46" s="183">
        <f>A46-B46</f>
        <v>-13.979999999999563</v>
      </c>
      <c r="D46" s="184"/>
      <c r="S46" s="1"/>
      <c r="T46" s="1"/>
    </row>
    <row r="47" spans="1:20" ht="12.75">
      <c r="A47" s="133"/>
      <c r="S47" s="1"/>
      <c r="T47" s="1"/>
    </row>
    <row r="48" spans="1:20" ht="12.75">
      <c r="A48" s="2" t="s">
        <v>88</v>
      </c>
      <c r="G48" s="2" t="s">
        <v>89</v>
      </c>
      <c r="S48" s="1"/>
      <c r="T48" s="1"/>
    </row>
    <row r="49" ht="12.75">
      <c r="A49" s="1"/>
    </row>
    <row r="50" ht="12.75">
      <c r="A50" s="1"/>
    </row>
    <row r="51" ht="12.75">
      <c r="A51" s="2" t="s">
        <v>90</v>
      </c>
    </row>
    <row r="52" ht="12.75">
      <c r="A52" s="2" t="s">
        <v>91</v>
      </c>
    </row>
  </sheetData>
  <sheetProtection/>
  <mergeCells count="22">
    <mergeCell ref="L12:L13"/>
    <mergeCell ref="M12:M13"/>
    <mergeCell ref="P10:P13"/>
    <mergeCell ref="H12:H13"/>
    <mergeCell ref="I12:I13"/>
    <mergeCell ref="J12:J13"/>
    <mergeCell ref="N12:N13"/>
    <mergeCell ref="A6:S6"/>
    <mergeCell ref="A7:S7"/>
    <mergeCell ref="A10:A13"/>
    <mergeCell ref="B10:B13"/>
    <mergeCell ref="C10:C13"/>
    <mergeCell ref="C45:D45"/>
    <mergeCell ref="C46:D46"/>
    <mergeCell ref="A41:O41"/>
    <mergeCell ref="E10:F11"/>
    <mergeCell ref="G10:H11"/>
    <mergeCell ref="I10:N11"/>
    <mergeCell ref="O10:O13"/>
    <mergeCell ref="D10:D13"/>
    <mergeCell ref="E12:F12"/>
    <mergeCell ref="K12:K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4"/>
  <sheetViews>
    <sheetView zoomScalePageLayoutView="0" workbookViewId="0" topLeftCell="A1">
      <pane xSplit="2" ySplit="7" topLeftCell="BA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2" sqref="C22"/>
    </sheetView>
  </sheetViews>
  <sheetFormatPr defaultColWidth="9.00390625" defaultRowHeight="12.75"/>
  <cols>
    <col min="1" max="1" width="8.75390625" style="222" bestFit="1" customWidth="1"/>
    <col min="2" max="2" width="9.125" style="222" customWidth="1"/>
    <col min="3" max="3" width="10.125" style="222" customWidth="1"/>
    <col min="4" max="4" width="10.375" style="222" customWidth="1"/>
    <col min="5" max="6" width="9.125" style="222" customWidth="1"/>
    <col min="7" max="7" width="10.25390625" style="222" customWidth="1"/>
    <col min="8" max="8" width="9.125" style="222" customWidth="1"/>
    <col min="9" max="9" width="9.875" style="222" customWidth="1"/>
    <col min="10" max="10" width="9.125" style="222" customWidth="1"/>
    <col min="11" max="11" width="10.375" style="222" customWidth="1"/>
    <col min="12" max="14" width="9.125" style="222" customWidth="1"/>
    <col min="15" max="15" width="10.125" style="222" bestFit="1" customWidth="1"/>
    <col min="16" max="18" width="9.125" style="222" customWidth="1"/>
    <col min="19" max="19" width="10.125" style="222" bestFit="1" customWidth="1"/>
    <col min="20" max="20" width="10.125" style="222" customWidth="1"/>
    <col min="21" max="21" width="10.125" style="222" bestFit="1" customWidth="1"/>
    <col min="22" max="22" width="9.125" style="222" customWidth="1"/>
    <col min="23" max="23" width="10.625" style="222" customWidth="1"/>
    <col min="24" max="24" width="10.125" style="222" customWidth="1"/>
    <col min="25" max="27" width="9.125" style="222" customWidth="1"/>
    <col min="28" max="28" width="10.125" style="222" bestFit="1" customWidth="1"/>
    <col min="29" max="30" width="11.375" style="222" customWidth="1"/>
    <col min="31" max="31" width="9.25390625" style="222" bestFit="1" customWidth="1"/>
    <col min="32" max="32" width="10.125" style="222" bestFit="1" customWidth="1"/>
    <col min="33" max="33" width="10.25390625" style="222" customWidth="1"/>
    <col min="34" max="35" width="9.25390625" style="222" bestFit="1" customWidth="1"/>
    <col min="36" max="36" width="10.125" style="222" bestFit="1" customWidth="1"/>
    <col min="37" max="38" width="9.25390625" style="222" bestFit="1" customWidth="1"/>
    <col min="39" max="39" width="10.125" style="222" bestFit="1" customWidth="1"/>
    <col min="40" max="42" width="9.25390625" style="222" bestFit="1" customWidth="1"/>
    <col min="43" max="45" width="9.25390625" style="222" customWidth="1"/>
    <col min="46" max="46" width="10.125" style="222" bestFit="1" customWidth="1"/>
    <col min="47" max="47" width="11.625" style="222" customWidth="1"/>
    <col min="48" max="48" width="10.875" style="222" customWidth="1"/>
    <col min="49" max="49" width="10.625" style="222" customWidth="1"/>
    <col min="50" max="50" width="9.25390625" style="222" customWidth="1"/>
    <col min="51" max="51" width="10.625" style="222" customWidth="1"/>
    <col min="52" max="52" width="9.25390625" style="222" bestFit="1" customWidth="1"/>
    <col min="53" max="54" width="10.125" style="222" bestFit="1" customWidth="1"/>
    <col min="55" max="56" width="10.375" style="222" customWidth="1"/>
    <col min="57" max="57" width="10.75390625" style="222" customWidth="1"/>
    <col min="58" max="58" width="14.00390625" style="222" customWidth="1"/>
    <col min="59" max="59" width="10.375" style="222" customWidth="1"/>
    <col min="60" max="16384" width="9.125" style="222" customWidth="1"/>
  </cols>
  <sheetData>
    <row r="1" spans="1:18" ht="21" customHeight="1">
      <c r="A1" s="148" t="s">
        <v>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221"/>
      <c r="P1" s="221"/>
      <c r="Q1" s="221"/>
      <c r="R1" s="221"/>
    </row>
    <row r="2" spans="1:18" ht="13.5" thickBot="1">
      <c r="A2" s="221"/>
      <c r="B2" s="223"/>
      <c r="C2" s="224"/>
      <c r="D2" s="224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60" ht="29.25" customHeight="1" thickBot="1">
      <c r="A3" s="225" t="s">
        <v>0</v>
      </c>
      <c r="B3" s="226" t="s">
        <v>1</v>
      </c>
      <c r="C3" s="227" t="s">
        <v>2</v>
      </c>
      <c r="D3" s="228" t="s">
        <v>3</v>
      </c>
      <c r="E3" s="225" t="s">
        <v>93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188"/>
      <c r="S3" s="225"/>
      <c r="T3" s="229"/>
      <c r="U3" s="225" t="s">
        <v>5</v>
      </c>
      <c r="V3" s="229"/>
      <c r="W3" s="230" t="s">
        <v>6</v>
      </c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2"/>
      <c r="AJ3" s="233" t="s">
        <v>73</v>
      </c>
      <c r="AK3" s="234" t="s">
        <v>10</v>
      </c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6"/>
      <c r="BF3" s="237" t="s">
        <v>11</v>
      </c>
      <c r="BG3" s="238" t="s">
        <v>12</v>
      </c>
      <c r="BH3" s="239"/>
    </row>
    <row r="4" spans="1:59" ht="51.75" customHeight="1" hidden="1" thickBot="1">
      <c r="A4" s="240"/>
      <c r="B4" s="241"/>
      <c r="C4" s="242"/>
      <c r="D4" s="243"/>
      <c r="E4" s="240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20"/>
      <c r="S4" s="245"/>
      <c r="T4" s="246"/>
      <c r="U4" s="245"/>
      <c r="V4" s="246"/>
      <c r="W4" s="247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9"/>
      <c r="AJ4" s="250"/>
      <c r="AK4" s="251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3"/>
      <c r="BF4" s="254"/>
      <c r="BG4" s="255"/>
    </row>
    <row r="5" spans="1:61" ht="19.5" customHeight="1">
      <c r="A5" s="240"/>
      <c r="B5" s="241"/>
      <c r="C5" s="242"/>
      <c r="D5" s="243"/>
      <c r="E5" s="256" t="s">
        <v>13</v>
      </c>
      <c r="F5" s="257"/>
      <c r="G5" s="256" t="s">
        <v>94</v>
      </c>
      <c r="H5" s="257"/>
      <c r="I5" s="256" t="s">
        <v>14</v>
      </c>
      <c r="J5" s="257"/>
      <c r="K5" s="256" t="s">
        <v>16</v>
      </c>
      <c r="L5" s="257"/>
      <c r="M5" s="256" t="s">
        <v>15</v>
      </c>
      <c r="N5" s="257"/>
      <c r="O5" s="258" t="s">
        <v>17</v>
      </c>
      <c r="P5" s="258"/>
      <c r="Q5" s="256" t="s">
        <v>95</v>
      </c>
      <c r="R5" s="257"/>
      <c r="S5" s="258" t="s">
        <v>96</v>
      </c>
      <c r="T5" s="257"/>
      <c r="U5" s="259" t="s">
        <v>20</v>
      </c>
      <c r="V5" s="260" t="s">
        <v>21</v>
      </c>
      <c r="W5" s="261" t="s">
        <v>22</v>
      </c>
      <c r="X5" s="261" t="s">
        <v>97</v>
      </c>
      <c r="Y5" s="261" t="s">
        <v>23</v>
      </c>
      <c r="Z5" s="261" t="s">
        <v>25</v>
      </c>
      <c r="AA5" s="261" t="s">
        <v>24</v>
      </c>
      <c r="AB5" s="261" t="s">
        <v>26</v>
      </c>
      <c r="AC5" s="261" t="s">
        <v>27</v>
      </c>
      <c r="AD5" s="262" t="s">
        <v>28</v>
      </c>
      <c r="AE5" s="262" t="s">
        <v>98</v>
      </c>
      <c r="AF5" s="263" t="s">
        <v>29</v>
      </c>
      <c r="AG5" s="264" t="s">
        <v>72</v>
      </c>
      <c r="AH5" s="265" t="s">
        <v>8</v>
      </c>
      <c r="AI5" s="266" t="s">
        <v>9</v>
      </c>
      <c r="AJ5" s="250"/>
      <c r="AK5" s="267" t="s">
        <v>99</v>
      </c>
      <c r="AL5" s="268" t="s">
        <v>100</v>
      </c>
      <c r="AM5" s="268" t="s">
        <v>101</v>
      </c>
      <c r="AN5" s="269" t="s">
        <v>102</v>
      </c>
      <c r="AO5" s="268" t="s">
        <v>103</v>
      </c>
      <c r="AP5" s="269" t="s">
        <v>104</v>
      </c>
      <c r="AQ5" s="269" t="s">
        <v>105</v>
      </c>
      <c r="AR5" s="269" t="s">
        <v>106</v>
      </c>
      <c r="AS5" s="269" t="s">
        <v>107</v>
      </c>
      <c r="AT5" s="269" t="s">
        <v>36</v>
      </c>
      <c r="AU5" s="178" t="s">
        <v>108</v>
      </c>
      <c r="AV5" s="176" t="s">
        <v>109</v>
      </c>
      <c r="AW5" s="178" t="s">
        <v>110</v>
      </c>
      <c r="AX5" s="174" t="s">
        <v>111</v>
      </c>
      <c r="AY5" s="129"/>
      <c r="AZ5" s="270" t="s">
        <v>19</v>
      </c>
      <c r="BA5" s="269" t="s">
        <v>38</v>
      </c>
      <c r="BB5" s="269" t="s">
        <v>33</v>
      </c>
      <c r="BC5" s="271" t="s">
        <v>39</v>
      </c>
      <c r="BD5" s="272" t="s">
        <v>74</v>
      </c>
      <c r="BE5" s="269" t="s">
        <v>112</v>
      </c>
      <c r="BF5" s="254"/>
      <c r="BG5" s="255"/>
      <c r="BH5" s="273"/>
      <c r="BI5" s="274"/>
    </row>
    <row r="6" spans="1:61" ht="56.25" customHeight="1" thickBot="1">
      <c r="A6" s="240"/>
      <c r="B6" s="241"/>
      <c r="C6" s="242"/>
      <c r="D6" s="243"/>
      <c r="E6" s="275"/>
      <c r="F6" s="276"/>
      <c r="G6" s="275"/>
      <c r="H6" s="276"/>
      <c r="I6" s="275"/>
      <c r="J6" s="276"/>
      <c r="K6" s="275"/>
      <c r="L6" s="276"/>
      <c r="M6" s="275"/>
      <c r="N6" s="276"/>
      <c r="O6" s="277"/>
      <c r="P6" s="277"/>
      <c r="Q6" s="275"/>
      <c r="R6" s="276"/>
      <c r="S6" s="278"/>
      <c r="T6" s="276"/>
      <c r="U6" s="279"/>
      <c r="V6" s="280"/>
      <c r="W6" s="281"/>
      <c r="X6" s="281"/>
      <c r="Y6" s="281"/>
      <c r="Z6" s="281"/>
      <c r="AA6" s="281"/>
      <c r="AB6" s="281"/>
      <c r="AC6" s="281"/>
      <c r="AD6" s="282"/>
      <c r="AE6" s="282"/>
      <c r="AF6" s="283"/>
      <c r="AG6" s="284"/>
      <c r="AH6" s="285"/>
      <c r="AI6" s="286"/>
      <c r="AJ6" s="287"/>
      <c r="AK6" s="288"/>
      <c r="AL6" s="289"/>
      <c r="AM6" s="289"/>
      <c r="AN6" s="290"/>
      <c r="AO6" s="289"/>
      <c r="AP6" s="290"/>
      <c r="AQ6" s="290"/>
      <c r="AR6" s="290"/>
      <c r="AS6" s="290"/>
      <c r="AT6" s="290"/>
      <c r="AU6" s="179"/>
      <c r="AV6" s="177"/>
      <c r="AW6" s="179"/>
      <c r="AX6" s="175"/>
      <c r="AY6" s="130" t="s">
        <v>113</v>
      </c>
      <c r="AZ6" s="291"/>
      <c r="BA6" s="290"/>
      <c r="BB6" s="290"/>
      <c r="BC6" s="292"/>
      <c r="BD6" s="293"/>
      <c r="BE6" s="290"/>
      <c r="BF6" s="294"/>
      <c r="BG6" s="295"/>
      <c r="BH6" s="273"/>
      <c r="BI6" s="274"/>
    </row>
    <row r="7" spans="1:61" ht="19.5" customHeight="1" thickBot="1">
      <c r="A7" s="296">
        <v>1</v>
      </c>
      <c r="B7" s="297">
        <v>2</v>
      </c>
      <c r="C7" s="297">
        <v>3</v>
      </c>
      <c r="D7" s="296">
        <v>4</v>
      </c>
      <c r="E7" s="297">
        <v>5</v>
      </c>
      <c r="F7" s="297">
        <v>6</v>
      </c>
      <c r="G7" s="296">
        <v>7</v>
      </c>
      <c r="H7" s="297">
        <v>8</v>
      </c>
      <c r="I7" s="297">
        <v>9</v>
      </c>
      <c r="J7" s="296">
        <v>10</v>
      </c>
      <c r="K7" s="297">
        <v>11</v>
      </c>
      <c r="L7" s="297">
        <v>12</v>
      </c>
      <c r="M7" s="296">
        <v>13</v>
      </c>
      <c r="N7" s="297">
        <v>14</v>
      </c>
      <c r="O7" s="297">
        <v>15</v>
      </c>
      <c r="P7" s="296">
        <v>16</v>
      </c>
      <c r="Q7" s="297">
        <v>17</v>
      </c>
      <c r="R7" s="297">
        <v>18</v>
      </c>
      <c r="S7" s="296">
        <v>19</v>
      </c>
      <c r="T7" s="297">
        <v>20</v>
      </c>
      <c r="U7" s="297">
        <v>21</v>
      </c>
      <c r="V7" s="296">
        <v>22</v>
      </c>
      <c r="W7" s="297">
        <v>23</v>
      </c>
      <c r="X7" s="296">
        <v>24</v>
      </c>
      <c r="Y7" s="297">
        <v>25</v>
      </c>
      <c r="Z7" s="296">
        <v>26</v>
      </c>
      <c r="AA7" s="297">
        <v>27</v>
      </c>
      <c r="AB7" s="296">
        <v>28</v>
      </c>
      <c r="AC7" s="297">
        <v>29</v>
      </c>
      <c r="AD7" s="296">
        <v>30</v>
      </c>
      <c r="AE7" s="296">
        <v>31</v>
      </c>
      <c r="AF7" s="297">
        <v>32</v>
      </c>
      <c r="AG7" s="297">
        <v>33</v>
      </c>
      <c r="AH7" s="297">
        <v>34</v>
      </c>
      <c r="AI7" s="296">
        <v>35</v>
      </c>
      <c r="AJ7" s="297">
        <v>36</v>
      </c>
      <c r="AK7" s="296">
        <v>37</v>
      </c>
      <c r="AL7" s="297">
        <v>38</v>
      </c>
      <c r="AM7" s="296">
        <v>39</v>
      </c>
      <c r="AN7" s="296">
        <v>40</v>
      </c>
      <c r="AO7" s="297">
        <v>41</v>
      </c>
      <c r="AP7" s="296">
        <v>42</v>
      </c>
      <c r="AQ7" s="297">
        <v>43</v>
      </c>
      <c r="AR7" s="296"/>
      <c r="AS7" s="296">
        <v>44</v>
      </c>
      <c r="AT7" s="297">
        <v>45</v>
      </c>
      <c r="AU7" s="296">
        <v>46</v>
      </c>
      <c r="AV7" s="297">
        <v>47</v>
      </c>
      <c r="AW7" s="296">
        <v>48</v>
      </c>
      <c r="AX7" s="296">
        <v>49</v>
      </c>
      <c r="AY7" s="297"/>
      <c r="AZ7" s="297">
        <v>50</v>
      </c>
      <c r="BA7" s="297">
        <v>51</v>
      </c>
      <c r="BB7" s="297">
        <v>52</v>
      </c>
      <c r="BC7" s="297">
        <v>53</v>
      </c>
      <c r="BD7" s="297">
        <v>54</v>
      </c>
      <c r="BE7" s="297"/>
      <c r="BF7" s="297">
        <v>55</v>
      </c>
      <c r="BG7" s="297">
        <v>56</v>
      </c>
      <c r="BH7" s="274"/>
      <c r="BI7" s="274"/>
    </row>
    <row r="8" spans="1:59" s="17" customFormat="1" ht="13.5" thickBot="1">
      <c r="A8" s="97" t="s">
        <v>53</v>
      </c>
      <c r="B8" s="298"/>
      <c r="C8" s="298">
        <f>Лист1!C35</f>
        <v>70144.58</v>
      </c>
      <c r="D8" s="298">
        <f>Лист1!D35</f>
        <v>23496.687500000015</v>
      </c>
      <c r="E8" s="298">
        <f>Лист1!E35</f>
        <v>6045.950000000001</v>
      </c>
      <c r="F8" s="298">
        <f>Лист1!F35</f>
        <v>1171.3600000000001</v>
      </c>
      <c r="G8" s="298">
        <f>0</f>
        <v>0</v>
      </c>
      <c r="H8" s="298">
        <f>0</f>
        <v>0</v>
      </c>
      <c r="I8" s="298">
        <f>Лист1!G35</f>
        <v>2266.8399999999997</v>
      </c>
      <c r="J8" s="298">
        <f>Лист1!H35</f>
        <v>440.05999999999995</v>
      </c>
      <c r="K8" s="298">
        <f>Лист1!K35</f>
        <v>9719.81</v>
      </c>
      <c r="L8" s="298">
        <f>Лист1!L35</f>
        <v>1836.9299999999998</v>
      </c>
      <c r="M8" s="298">
        <f>Лист1!I35</f>
        <v>14054.26</v>
      </c>
      <c r="N8" s="298">
        <f>Лист1!J35</f>
        <v>2658.2</v>
      </c>
      <c r="O8" s="298">
        <f>Лист1!M35</f>
        <v>4836.889999999999</v>
      </c>
      <c r="P8" s="298">
        <f>Лист1!N35</f>
        <v>937.12</v>
      </c>
      <c r="Q8" s="298">
        <f>'[2]Лист1'!O44</f>
        <v>0</v>
      </c>
      <c r="R8" s="298">
        <f>'[2]Лист1'!P44</f>
        <v>0</v>
      </c>
      <c r="S8" s="298">
        <f>'[2]Лист1'!Q44</f>
        <v>0</v>
      </c>
      <c r="T8" s="298">
        <f>'[2]Лист1'!R44</f>
        <v>0</v>
      </c>
      <c r="U8" s="298">
        <f>Лист1!S35</f>
        <v>80516.93000000001</v>
      </c>
      <c r="V8" s="298">
        <f>Лист1!T35</f>
        <v>12652.319999999998</v>
      </c>
      <c r="W8" s="298">
        <f>Лист1!U35</f>
        <v>4389.55</v>
      </c>
      <c r="X8" s="298">
        <v>0</v>
      </c>
      <c r="Y8" s="298">
        <f>Лист1!V35</f>
        <v>1639.69</v>
      </c>
      <c r="Z8" s="298">
        <f>Лист1!X35</f>
        <v>6825.969999999999</v>
      </c>
      <c r="AA8" s="298">
        <f>Лист1!W35</f>
        <v>9872.84</v>
      </c>
      <c r="AB8" s="298">
        <f>Лист1!Y35</f>
        <v>3633.9399999999996</v>
      </c>
      <c r="AC8" s="298">
        <f>'[3]Лист1'!O39</f>
        <v>0</v>
      </c>
      <c r="AD8" s="298">
        <f>'[4]Лист1'!AA46</f>
        <v>0</v>
      </c>
      <c r="AF8" s="298">
        <f>Лист1!AB35</f>
        <v>58483.100000000006</v>
      </c>
      <c r="AG8" s="298">
        <f>Лист1!AC35</f>
        <v>94632.10750000001</v>
      </c>
      <c r="AH8" s="298">
        <f>'[4]Лист1'!AD46</f>
        <v>0</v>
      </c>
      <c r="AI8" s="298">
        <f>'[4]Лист1'!AE46</f>
        <v>0</v>
      </c>
      <c r="AJ8" s="298">
        <f>'[3]Лист1'!AF39</f>
        <v>0</v>
      </c>
      <c r="AK8" s="298">
        <f>Лист1!AG35</f>
        <v>4821.2880000000005</v>
      </c>
      <c r="AL8" s="298">
        <f>Лист1!AH35</f>
        <v>1610.3849700000005</v>
      </c>
      <c r="AM8" s="298">
        <f>Лист1!AI35+Лист1!AJ35</f>
        <v>8014.17184699</v>
      </c>
      <c r="AN8" s="298">
        <v>0</v>
      </c>
      <c r="AO8" s="298">
        <f>Лист1!AK35+Лист1!AL35</f>
        <v>7821.3797714724</v>
      </c>
      <c r="AP8" s="298">
        <f>Лист1!AM35+Лист1!AN35</f>
        <v>17974.1976949468</v>
      </c>
      <c r="AQ8" s="298">
        <v>0</v>
      </c>
      <c r="AR8" s="298">
        <v>0</v>
      </c>
      <c r="AS8" s="298">
        <f>0</f>
        <v>0</v>
      </c>
      <c r="AT8" s="298">
        <f>Лист1!AO35</f>
        <v>0</v>
      </c>
      <c r="AU8" s="298">
        <f>Лист1!AS35+Лист1!AU35</f>
        <v>6333.6028</v>
      </c>
      <c r="AV8" s="298">
        <f>0</f>
        <v>0</v>
      </c>
      <c r="AW8" s="298">
        <f>Лист1!AT35</f>
        <v>47.8</v>
      </c>
      <c r="AX8" s="298">
        <f>Лист1!AQ35+Лист1!AR35</f>
        <v>6806.7119999999995</v>
      </c>
      <c r="AY8" s="299">
        <f>Лист1!AX35</f>
        <v>-923.9999999999998</v>
      </c>
      <c r="AZ8" s="299">
        <f>'[4]Лист1'!AY46</f>
        <v>0</v>
      </c>
      <c r="BA8" s="299">
        <f>'[4]Лист1'!AZ46</f>
        <v>0</v>
      </c>
      <c r="BB8" s="299">
        <f>'[4]Лист1'!BA46</f>
        <v>0</v>
      </c>
      <c r="BC8" s="299">
        <f>Лист1!BB35</f>
        <v>52505.5370834092</v>
      </c>
      <c r="BD8" s="299">
        <f>'[4]Лист1'!BC46</f>
        <v>0</v>
      </c>
      <c r="BE8" s="300">
        <f>BC8</f>
        <v>52505.5370834092</v>
      </c>
      <c r="BF8" s="301">
        <f>Лист1!BD35</f>
        <v>42126.57041659081</v>
      </c>
      <c r="BG8" s="301">
        <f>Лист1!BE35</f>
        <v>-22033.829999999994</v>
      </c>
    </row>
    <row r="9" spans="1:60" ht="12.75">
      <c r="A9" s="5" t="s">
        <v>114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3"/>
      <c r="BF9" s="301"/>
      <c r="BG9" s="304"/>
      <c r="BH9" s="221"/>
    </row>
    <row r="10" spans="1:67" ht="12.75">
      <c r="A10" s="305" t="s">
        <v>44</v>
      </c>
      <c r="B10" s="306">
        <v>368</v>
      </c>
      <c r="C10" s="362">
        <f>(B10*0.87)+((B10*5.17*0.9*0.9*0.9*0.9)+(B10*2.51*0.9*0.9*0.9*0.9))</f>
        <v>2174.456064</v>
      </c>
      <c r="D10" s="410">
        <v>101.02179999999998</v>
      </c>
      <c r="E10" s="328">
        <v>0</v>
      </c>
      <c r="F10" s="341">
        <v>0</v>
      </c>
      <c r="G10" s="328">
        <v>1273.39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687.06</v>
      </c>
      <c r="N10" s="328">
        <v>0</v>
      </c>
      <c r="O10" s="328">
        <v>326.97</v>
      </c>
      <c r="P10" s="341">
        <v>0</v>
      </c>
      <c r="Q10" s="310">
        <v>0</v>
      </c>
      <c r="R10" s="311">
        <v>0</v>
      </c>
      <c r="S10" s="310">
        <v>0</v>
      </c>
      <c r="T10" s="311">
        <v>0</v>
      </c>
      <c r="U10" s="314">
        <f aca="true" t="shared" si="0" ref="U10:V21">E10+G10+I10+K10+M10+O10+Q10+S10</f>
        <v>2287.42</v>
      </c>
      <c r="V10" s="315">
        <f t="shared" si="0"/>
        <v>0</v>
      </c>
      <c r="W10" s="307">
        <v>296.61</v>
      </c>
      <c r="X10" s="307"/>
      <c r="Y10" s="307">
        <v>112.3</v>
      </c>
      <c r="Z10" s="307">
        <v>490.85</v>
      </c>
      <c r="AA10" s="307">
        <v>709.8</v>
      </c>
      <c r="AB10" s="307">
        <v>237.26</v>
      </c>
      <c r="AC10" s="307">
        <v>0</v>
      </c>
      <c r="AD10" s="308">
        <v>0</v>
      </c>
      <c r="AE10" s="316">
        <v>0</v>
      </c>
      <c r="AF10" s="316">
        <f>SUM(W10:AE10)</f>
        <v>1846.82</v>
      </c>
      <c r="AG10" s="317">
        <f>AF10+V10+D10</f>
        <v>1947.8418</v>
      </c>
      <c r="AH10" s="411">
        <f aca="true" t="shared" si="1" ref="AH10:AI21">AC10</f>
        <v>0</v>
      </c>
      <c r="AI10" s="411">
        <f t="shared" si="1"/>
        <v>0</v>
      </c>
      <c r="AJ10" s="412"/>
      <c r="AK10" s="413">
        <f aca="true" t="shared" si="2" ref="AK10:AK21">0.67*B10</f>
        <v>246.56</v>
      </c>
      <c r="AL10" s="413">
        <f aca="true" t="shared" si="3" ref="AL10:AL21">B10*0.2</f>
        <v>73.60000000000001</v>
      </c>
      <c r="AM10" s="413">
        <v>0</v>
      </c>
      <c r="AN10" s="413">
        <v>0</v>
      </c>
      <c r="AO10" s="413">
        <v>0</v>
      </c>
      <c r="AP10" s="413">
        <v>0</v>
      </c>
      <c r="AQ10" s="413">
        <v>0</v>
      </c>
      <c r="AR10" s="413">
        <v>0</v>
      </c>
      <c r="AS10" s="413">
        <v>0</v>
      </c>
      <c r="AT10" s="413"/>
      <c r="AU10" s="414"/>
      <c r="AV10" s="415"/>
      <c r="AW10" s="414"/>
      <c r="AX10" s="414"/>
      <c r="AY10" s="413"/>
      <c r="AZ10" s="125"/>
      <c r="BA10" s="125"/>
      <c r="BB10" s="125">
        <f>BA10*0.18</f>
        <v>0</v>
      </c>
      <c r="BC10" s="323">
        <f>SUM(AK10:BB10)</f>
        <v>320.16</v>
      </c>
      <c r="BD10" s="324"/>
      <c r="BE10" s="324">
        <f>BC10</f>
        <v>320.16</v>
      </c>
      <c r="BF10" s="324">
        <f>AG10-BE10</f>
        <v>1627.6817999999998</v>
      </c>
      <c r="BG10" s="324">
        <f>AF10-U10</f>
        <v>-440.60000000000014</v>
      </c>
      <c r="BH10" s="323"/>
      <c r="BI10" s="223"/>
      <c r="BJ10" s="45"/>
      <c r="BK10" s="325"/>
      <c r="BL10" s="45"/>
      <c r="BM10" s="325"/>
      <c r="BN10" s="45"/>
      <c r="BO10" s="325"/>
    </row>
    <row r="11" spans="1:65" ht="12.75">
      <c r="A11" s="305" t="s">
        <v>45</v>
      </c>
      <c r="B11" s="416">
        <v>368</v>
      </c>
      <c r="C11" s="362">
        <f>(B11*0.87)+((B11*5.17*0.9*0.9*0.9*0.9)+(B11*2.51*0.9*0.9*0.9*0.9))</f>
        <v>2174.456064</v>
      </c>
      <c r="D11" s="410">
        <v>101.02179999999998</v>
      </c>
      <c r="E11" s="328">
        <v>0</v>
      </c>
      <c r="F11" s="341">
        <v>0</v>
      </c>
      <c r="G11" s="328">
        <v>1273.39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687.06</v>
      </c>
      <c r="N11" s="328">
        <v>0</v>
      </c>
      <c r="O11" s="328">
        <v>326.97</v>
      </c>
      <c r="P11" s="328">
        <v>0</v>
      </c>
      <c r="Q11" s="341">
        <v>0</v>
      </c>
      <c r="R11" s="341">
        <v>0</v>
      </c>
      <c r="S11" s="308">
        <v>0</v>
      </c>
      <c r="T11" s="307">
        <v>0</v>
      </c>
      <c r="U11" s="326">
        <f t="shared" si="0"/>
        <v>2287.42</v>
      </c>
      <c r="V11" s="315">
        <f t="shared" si="0"/>
        <v>0</v>
      </c>
      <c r="W11" s="307">
        <v>60.54</v>
      </c>
      <c r="X11" s="308">
        <v>837.76</v>
      </c>
      <c r="Y11" s="307">
        <v>22.86</v>
      </c>
      <c r="Z11" s="307">
        <v>99.55</v>
      </c>
      <c r="AA11" s="307">
        <v>363.25</v>
      </c>
      <c r="AB11" s="307">
        <v>169.56</v>
      </c>
      <c r="AC11" s="307">
        <v>0</v>
      </c>
      <c r="AD11" s="308">
        <v>0</v>
      </c>
      <c r="AE11" s="308">
        <v>0</v>
      </c>
      <c r="AF11" s="316">
        <f>SUM(W11:AE11)</f>
        <v>1553.52</v>
      </c>
      <c r="AG11" s="317">
        <f>AF11+V11+D11</f>
        <v>1654.5418</v>
      </c>
      <c r="AH11" s="318">
        <f t="shared" si="1"/>
        <v>0</v>
      </c>
      <c r="AI11" s="318">
        <f t="shared" si="1"/>
        <v>0</v>
      </c>
      <c r="AJ11" s="412"/>
      <c r="AK11" s="413">
        <f t="shared" si="2"/>
        <v>246.56</v>
      </c>
      <c r="AL11" s="413">
        <f t="shared" si="3"/>
        <v>73.60000000000001</v>
      </c>
      <c r="AM11" s="413">
        <v>0</v>
      </c>
      <c r="AN11" s="413">
        <v>0</v>
      </c>
      <c r="AO11" s="413">
        <v>0</v>
      </c>
      <c r="AP11" s="413">
        <v>0</v>
      </c>
      <c r="AQ11" s="413">
        <v>0</v>
      </c>
      <c r="AR11" s="413">
        <v>0</v>
      </c>
      <c r="AS11" s="413">
        <v>0</v>
      </c>
      <c r="AT11" s="413"/>
      <c r="AU11" s="414"/>
      <c r="AV11" s="415"/>
      <c r="AW11" s="414"/>
      <c r="AX11" s="414">
        <v>33.84</v>
      </c>
      <c r="AY11" s="413"/>
      <c r="AZ11" s="125"/>
      <c r="BA11" s="125"/>
      <c r="BB11" s="125">
        <f>BA11*0.18</f>
        <v>0</v>
      </c>
      <c r="BC11" s="125">
        <f>SUM(AK11:BB11)</f>
        <v>354</v>
      </c>
      <c r="BD11" s="324"/>
      <c r="BE11" s="324">
        <f aca="true" t="shared" si="4" ref="BE11:BE21">BC11</f>
        <v>354</v>
      </c>
      <c r="BF11" s="324">
        <f>AG11-BE11</f>
        <v>1300.5418</v>
      </c>
      <c r="BG11" s="324">
        <f aca="true" t="shared" si="5" ref="BG11:BG21">AF11-U11</f>
        <v>-733.9000000000001</v>
      </c>
      <c r="BH11" s="323"/>
      <c r="BI11" s="223"/>
      <c r="BJ11" s="45"/>
      <c r="BK11" s="325"/>
      <c r="BL11" s="325"/>
      <c r="BM11" s="325"/>
    </row>
    <row r="12" spans="1:65" ht="12.75">
      <c r="A12" s="305" t="s">
        <v>46</v>
      </c>
      <c r="B12" s="306">
        <v>368</v>
      </c>
      <c r="C12" s="362">
        <f>(B12*0.87)+((B12*5.17*0.9*0.9*0.9*0.9)+(B12*2.51*0.9*0.9*0.9*0.9))</f>
        <v>2174.456064</v>
      </c>
      <c r="D12" s="56">
        <v>101.02179999999998</v>
      </c>
      <c r="E12" s="328">
        <v>0</v>
      </c>
      <c r="F12" s="341">
        <v>0</v>
      </c>
      <c r="G12" s="328">
        <v>1273.39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687.06</v>
      </c>
      <c r="N12" s="328">
        <v>0</v>
      </c>
      <c r="O12" s="328">
        <v>326.97</v>
      </c>
      <c r="P12" s="328">
        <v>0</v>
      </c>
      <c r="Q12" s="328">
        <v>0</v>
      </c>
      <c r="R12" s="328">
        <v>0</v>
      </c>
      <c r="S12" s="307">
        <v>0</v>
      </c>
      <c r="T12" s="307">
        <v>0</v>
      </c>
      <c r="U12" s="307">
        <f t="shared" si="0"/>
        <v>2287.42</v>
      </c>
      <c r="V12" s="329">
        <f t="shared" si="0"/>
        <v>0</v>
      </c>
      <c r="W12" s="330">
        <v>27.16</v>
      </c>
      <c r="X12" s="308">
        <v>806.16</v>
      </c>
      <c r="Y12" s="307">
        <v>10.26</v>
      </c>
      <c r="Z12" s="307">
        <v>44.67</v>
      </c>
      <c r="AA12" s="307">
        <v>453.55</v>
      </c>
      <c r="AB12" s="307">
        <v>228.63</v>
      </c>
      <c r="AC12" s="307">
        <v>0</v>
      </c>
      <c r="AD12" s="308">
        <v>0</v>
      </c>
      <c r="AE12" s="307">
        <v>0</v>
      </c>
      <c r="AF12" s="331">
        <f>SUM(W12:AE12)</f>
        <v>1570.4299999999998</v>
      </c>
      <c r="AG12" s="317">
        <f>AF12+V12+D12</f>
        <v>1671.4517999999998</v>
      </c>
      <c r="AH12" s="318">
        <f t="shared" si="1"/>
        <v>0</v>
      </c>
      <c r="AI12" s="318">
        <f t="shared" si="1"/>
        <v>0</v>
      </c>
      <c r="AJ12" s="319"/>
      <c r="AK12" s="413">
        <f t="shared" si="2"/>
        <v>246.56</v>
      </c>
      <c r="AL12" s="413">
        <f t="shared" si="3"/>
        <v>73.60000000000001</v>
      </c>
      <c r="AM12" s="413">
        <v>0</v>
      </c>
      <c r="AN12" s="413">
        <v>0</v>
      </c>
      <c r="AO12" s="413">
        <v>0</v>
      </c>
      <c r="AP12" s="413">
        <v>0</v>
      </c>
      <c r="AQ12" s="413">
        <v>0</v>
      </c>
      <c r="AR12" s="413">
        <v>0</v>
      </c>
      <c r="AS12" s="413">
        <v>0</v>
      </c>
      <c r="AT12" s="320"/>
      <c r="AU12" s="321"/>
      <c r="AV12" s="322"/>
      <c r="AW12" s="321"/>
      <c r="AX12" s="321"/>
      <c r="AY12" s="413"/>
      <c r="AZ12" s="125"/>
      <c r="BA12" s="323"/>
      <c r="BB12" s="323">
        <f>BA12*0.18</f>
        <v>0</v>
      </c>
      <c r="BC12" s="323">
        <f>SUM(AK12:BB12)</f>
        <v>320.16</v>
      </c>
      <c r="BD12" s="324"/>
      <c r="BE12" s="324">
        <f t="shared" si="4"/>
        <v>320.16</v>
      </c>
      <c r="BF12" s="324">
        <f>AG12-BE12</f>
        <v>1351.2917999999997</v>
      </c>
      <c r="BG12" s="324">
        <f t="shared" si="5"/>
        <v>-716.9900000000002</v>
      </c>
      <c r="BH12" s="323"/>
      <c r="BI12" s="223"/>
      <c r="BJ12" s="45"/>
      <c r="BK12" s="325"/>
      <c r="BL12" s="325"/>
      <c r="BM12" s="325"/>
    </row>
    <row r="13" spans="1:66" ht="12.75">
      <c r="A13" s="305" t="s">
        <v>47</v>
      </c>
      <c r="B13" s="306">
        <v>368</v>
      </c>
      <c r="C13" s="362">
        <f>(B13*0.87)+((B13*5.17*0.9*0.9*0.9*0.9)+(B13*2.51*0.9*0.9*0.9*0.9))</f>
        <v>2174.456064</v>
      </c>
      <c r="D13" s="332">
        <v>101.02179999999998</v>
      </c>
      <c r="E13" s="310">
        <v>0</v>
      </c>
      <c r="F13" s="341">
        <v>0</v>
      </c>
      <c r="G13" s="417">
        <v>1273.39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687.06</v>
      </c>
      <c r="N13" s="328">
        <v>0</v>
      </c>
      <c r="O13" s="328">
        <v>326.97</v>
      </c>
      <c r="P13" s="328">
        <v>0</v>
      </c>
      <c r="Q13" s="327">
        <v>0</v>
      </c>
      <c r="R13" s="309">
        <v>0</v>
      </c>
      <c r="S13" s="312">
        <v>0</v>
      </c>
      <c r="T13" s="313">
        <v>0</v>
      </c>
      <c r="U13" s="326">
        <f t="shared" si="0"/>
        <v>2287.42</v>
      </c>
      <c r="V13" s="329">
        <f t="shared" si="0"/>
        <v>0</v>
      </c>
      <c r="W13" s="307">
        <v>20.82</v>
      </c>
      <c r="X13" s="308">
        <v>511.61</v>
      </c>
      <c r="Y13" s="307">
        <v>7.86</v>
      </c>
      <c r="Z13" s="307">
        <v>34.23</v>
      </c>
      <c r="AA13" s="307">
        <v>325.66</v>
      </c>
      <c r="AB13" s="308">
        <v>147.95</v>
      </c>
      <c r="AC13" s="307">
        <v>0</v>
      </c>
      <c r="AD13" s="308">
        <v>0</v>
      </c>
      <c r="AE13" s="308">
        <v>0</v>
      </c>
      <c r="AF13" s="316">
        <f>SUM(W13:AD13)</f>
        <v>1048.13</v>
      </c>
      <c r="AG13" s="333">
        <f>AF13+V13+D13</f>
        <v>1149.1518</v>
      </c>
      <c r="AH13" s="334">
        <f t="shared" si="1"/>
        <v>0</v>
      </c>
      <c r="AI13" s="334">
        <f t="shared" si="1"/>
        <v>0</v>
      </c>
      <c r="AJ13" s="335"/>
      <c r="AK13" s="320">
        <f t="shared" si="2"/>
        <v>246.56</v>
      </c>
      <c r="AL13" s="320">
        <f t="shared" si="3"/>
        <v>73.60000000000001</v>
      </c>
      <c r="AM13" s="320">
        <v>0</v>
      </c>
      <c r="AN13" s="320">
        <v>0</v>
      </c>
      <c r="AO13" s="320">
        <v>0</v>
      </c>
      <c r="AP13" s="320">
        <v>0</v>
      </c>
      <c r="AQ13" s="413">
        <v>0</v>
      </c>
      <c r="AR13" s="320">
        <v>0</v>
      </c>
      <c r="AS13" s="413"/>
      <c r="AT13" s="336"/>
      <c r="AU13" s="337"/>
      <c r="AV13" s="337"/>
      <c r="AW13" s="337"/>
      <c r="AX13" s="337">
        <f>20</f>
        <v>20</v>
      </c>
      <c r="AY13" s="413"/>
      <c r="AZ13" s="413"/>
      <c r="BA13" s="336"/>
      <c r="BB13" s="336"/>
      <c r="BC13" s="328">
        <f>SUM(AK13:BB13)</f>
        <v>340.16</v>
      </c>
      <c r="BD13" s="338"/>
      <c r="BE13" s="324">
        <f t="shared" si="4"/>
        <v>340.16</v>
      </c>
      <c r="BF13" s="324">
        <f>AG13-BE13</f>
        <v>808.9918</v>
      </c>
      <c r="BG13" s="324">
        <f t="shared" si="5"/>
        <v>-1239.29</v>
      </c>
      <c r="BH13" s="324"/>
      <c r="BI13" s="223"/>
      <c r="BJ13" s="223"/>
      <c r="BK13" s="45"/>
      <c r="BL13" s="325"/>
      <c r="BM13" s="325"/>
      <c r="BN13" s="339"/>
    </row>
    <row r="14" spans="1:66" ht="12.75">
      <c r="A14" s="305" t="s">
        <v>48</v>
      </c>
      <c r="B14" s="340">
        <v>368</v>
      </c>
      <c r="C14" s="362">
        <f>(B14*0.87)+((B14*5.17*0.9*0.9*0.9*0.9)+(B14*2.51*0.9*0.9*0.9*0.9))</f>
        <v>2174.456064</v>
      </c>
      <c r="D14" s="332">
        <v>101.02179999999998</v>
      </c>
      <c r="E14" s="417">
        <v>0</v>
      </c>
      <c r="F14" s="341">
        <v>0</v>
      </c>
      <c r="G14" s="328">
        <v>1273.39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687.06</v>
      </c>
      <c r="N14" s="328">
        <v>0</v>
      </c>
      <c r="O14" s="328">
        <v>326.97</v>
      </c>
      <c r="P14" s="328">
        <v>0</v>
      </c>
      <c r="Q14" s="328">
        <v>0</v>
      </c>
      <c r="R14" s="341">
        <v>0</v>
      </c>
      <c r="S14" s="307">
        <v>0</v>
      </c>
      <c r="T14" s="308">
        <v>0</v>
      </c>
      <c r="U14" s="312">
        <f t="shared" si="0"/>
        <v>2287.42</v>
      </c>
      <c r="V14" s="342">
        <f>F14+H14+J14+L14+N14++R14+T14</f>
        <v>0</v>
      </c>
      <c r="W14" s="307">
        <v>12.95</v>
      </c>
      <c r="X14" s="308">
        <v>833.35</v>
      </c>
      <c r="Y14" s="307">
        <v>4.89</v>
      </c>
      <c r="Z14" s="307">
        <v>21.3</v>
      </c>
      <c r="AA14" s="307">
        <v>480.64</v>
      </c>
      <c r="AB14" s="307">
        <v>224.24</v>
      </c>
      <c r="AC14" s="307">
        <v>0</v>
      </c>
      <c r="AD14" s="308">
        <v>0</v>
      </c>
      <c r="AE14" s="316">
        <v>0</v>
      </c>
      <c r="AF14" s="343">
        <f>SUM(W14:AE14)</f>
        <v>1577.3700000000001</v>
      </c>
      <c r="AG14" s="333">
        <f aca="true" t="shared" si="6" ref="AG14:AG21">D14+V14+AF14</f>
        <v>1678.3918</v>
      </c>
      <c r="AH14" s="334">
        <f t="shared" si="1"/>
        <v>0</v>
      </c>
      <c r="AI14" s="334">
        <f t="shared" si="1"/>
        <v>0</v>
      </c>
      <c r="AJ14" s="335"/>
      <c r="AK14" s="413">
        <f t="shared" si="2"/>
        <v>246.56</v>
      </c>
      <c r="AL14" s="413">
        <f t="shared" si="3"/>
        <v>73.60000000000001</v>
      </c>
      <c r="AM14" s="413">
        <v>0</v>
      </c>
      <c r="AN14" s="413">
        <v>0</v>
      </c>
      <c r="AO14" s="413">
        <v>0</v>
      </c>
      <c r="AP14" s="413">
        <v>0</v>
      </c>
      <c r="AQ14" s="413">
        <v>0</v>
      </c>
      <c r="AR14" s="320">
        <v>0</v>
      </c>
      <c r="AS14" s="413"/>
      <c r="AT14" s="336"/>
      <c r="AU14" s="337"/>
      <c r="AV14" s="337"/>
      <c r="AW14" s="337"/>
      <c r="AX14" s="337"/>
      <c r="AY14" s="413"/>
      <c r="AZ14" s="413"/>
      <c r="BA14" s="336"/>
      <c r="BB14" s="336"/>
      <c r="BC14" s="328">
        <f>SUM(AK14:BB14)</f>
        <v>320.16</v>
      </c>
      <c r="BD14" s="338"/>
      <c r="BE14" s="324">
        <f t="shared" si="4"/>
        <v>320.16</v>
      </c>
      <c r="BF14" s="324">
        <f>AG14-BE14</f>
        <v>1358.2318</v>
      </c>
      <c r="BG14" s="324">
        <f t="shared" si="5"/>
        <v>-710.05</v>
      </c>
      <c r="BH14" s="324"/>
      <c r="BI14" s="223"/>
      <c r="BJ14" s="223"/>
      <c r="BK14" s="45"/>
      <c r="BL14" s="325"/>
      <c r="BM14" s="325"/>
      <c r="BN14" s="339"/>
    </row>
    <row r="15" spans="1:67" ht="12.75">
      <c r="A15" s="305" t="s">
        <v>49</v>
      </c>
      <c r="B15" s="418">
        <v>366.6</v>
      </c>
      <c r="C15" s="87">
        <f>(B15*0.87)+((B15*5.17*0.9*0.9*0.9*0.9)+(B15*2.51*0.9*0.9*0.9*0.9))</f>
        <v>2166.1836768000003</v>
      </c>
      <c r="D15" s="332">
        <v>101.02179999999998</v>
      </c>
      <c r="E15" s="344">
        <v>0</v>
      </c>
      <c r="F15" s="344"/>
      <c r="G15" s="344">
        <v>1268.11</v>
      </c>
      <c r="H15" s="344"/>
      <c r="I15" s="345">
        <v>0</v>
      </c>
      <c r="J15" s="345"/>
      <c r="K15" s="345">
        <v>0</v>
      </c>
      <c r="L15" s="345"/>
      <c r="M15" s="345">
        <v>684.22</v>
      </c>
      <c r="N15" s="345"/>
      <c r="O15" s="345">
        <v>325.61</v>
      </c>
      <c r="P15" s="345"/>
      <c r="Q15" s="345">
        <v>0</v>
      </c>
      <c r="R15" s="346"/>
      <c r="S15" s="346">
        <v>0</v>
      </c>
      <c r="T15" s="345"/>
      <c r="U15" s="347">
        <f t="shared" si="0"/>
        <v>2277.94</v>
      </c>
      <c r="V15" s="348">
        <f t="shared" si="0"/>
        <v>0</v>
      </c>
      <c r="W15" s="349">
        <v>-60.23</v>
      </c>
      <c r="X15" s="344">
        <v>2341.82</v>
      </c>
      <c r="Y15" s="344">
        <v>-22.18</v>
      </c>
      <c r="Z15" s="344">
        <v>-98.73</v>
      </c>
      <c r="AA15" s="344">
        <v>1118.89</v>
      </c>
      <c r="AB15" s="344">
        <v>554.08</v>
      </c>
      <c r="AC15" s="344">
        <v>0</v>
      </c>
      <c r="AD15" s="344">
        <v>0</v>
      </c>
      <c r="AE15" s="350">
        <v>0</v>
      </c>
      <c r="AF15" s="351">
        <f aca="true" t="shared" si="7" ref="AF15:AF21">SUM(W15:AE15)</f>
        <v>3833.6500000000005</v>
      </c>
      <c r="AG15" s="333">
        <f t="shared" si="6"/>
        <v>3934.6718000000005</v>
      </c>
      <c r="AH15" s="334">
        <f t="shared" si="1"/>
        <v>0</v>
      </c>
      <c r="AI15" s="334">
        <f t="shared" si="1"/>
        <v>0</v>
      </c>
      <c r="AJ15" s="335"/>
      <c r="AK15" s="320">
        <f t="shared" si="2"/>
        <v>245.62200000000004</v>
      </c>
      <c r="AL15" s="320">
        <f t="shared" si="3"/>
        <v>73.32000000000001</v>
      </c>
      <c r="AM15" s="419">
        <v>0</v>
      </c>
      <c r="AN15" s="419">
        <v>0</v>
      </c>
      <c r="AO15" s="419">
        <v>0</v>
      </c>
      <c r="AP15" s="419">
        <v>0</v>
      </c>
      <c r="AQ15" s="419">
        <v>0</v>
      </c>
      <c r="AR15" s="419">
        <v>0</v>
      </c>
      <c r="AS15" s="320"/>
      <c r="AT15" s="336"/>
      <c r="AU15" s="337"/>
      <c r="AV15" s="337"/>
      <c r="AW15" s="337"/>
      <c r="AX15" s="337"/>
      <c r="AY15" s="320"/>
      <c r="AZ15" s="320"/>
      <c r="BA15" s="336"/>
      <c r="BB15" s="336"/>
      <c r="BC15" s="352">
        <f>SUM(AK15:BB15)</f>
        <v>318.94200000000006</v>
      </c>
      <c r="BD15" s="338"/>
      <c r="BE15" s="324">
        <f t="shared" si="4"/>
        <v>318.94200000000006</v>
      </c>
      <c r="BF15" s="324">
        <f>AG15-BE15</f>
        <v>3615.7298000000005</v>
      </c>
      <c r="BG15" s="324">
        <f t="shared" si="5"/>
        <v>1555.7100000000005</v>
      </c>
      <c r="BH15" s="324"/>
      <c r="BI15" s="223"/>
      <c r="BJ15" s="223"/>
      <c r="BK15" s="45"/>
      <c r="BL15" s="325"/>
      <c r="BM15" s="325"/>
      <c r="BN15" s="325"/>
      <c r="BO15" s="339"/>
    </row>
    <row r="16" spans="1:65" ht="12.75">
      <c r="A16" s="305" t="s">
        <v>50</v>
      </c>
      <c r="B16" s="306">
        <v>366.6</v>
      </c>
      <c r="C16" s="87">
        <f>(B16*0.87)+((B16*5.17*0.9*0.9*0.9*0.9)+(B16*2.51*0.9*0.9*0.9*0.9))</f>
        <v>2166.1836768000003</v>
      </c>
      <c r="D16" s="332">
        <v>101.02179999999998</v>
      </c>
      <c r="E16" s="353"/>
      <c r="F16" s="353"/>
      <c r="G16" s="353">
        <v>1268.11</v>
      </c>
      <c r="H16" s="353"/>
      <c r="I16" s="353"/>
      <c r="J16" s="353"/>
      <c r="K16" s="353"/>
      <c r="L16" s="353"/>
      <c r="M16" s="353">
        <v>684.22</v>
      </c>
      <c r="N16" s="353"/>
      <c r="O16" s="353">
        <v>325.61</v>
      </c>
      <c r="P16" s="353"/>
      <c r="Q16" s="353"/>
      <c r="R16" s="353"/>
      <c r="S16" s="354"/>
      <c r="T16" s="349"/>
      <c r="U16" s="355">
        <f t="shared" si="0"/>
        <v>2277.94</v>
      </c>
      <c r="V16" s="356">
        <f t="shared" si="0"/>
        <v>0</v>
      </c>
      <c r="W16" s="357">
        <v>10.01</v>
      </c>
      <c r="X16" s="353">
        <v>697.27</v>
      </c>
      <c r="Y16" s="353">
        <v>3.78</v>
      </c>
      <c r="Z16" s="353">
        <v>16.46</v>
      </c>
      <c r="AA16" s="353">
        <v>400.18</v>
      </c>
      <c r="AB16" s="353">
        <v>186.95</v>
      </c>
      <c r="AC16" s="344"/>
      <c r="AD16" s="353"/>
      <c r="AE16" s="354"/>
      <c r="AF16" s="351">
        <f t="shared" si="7"/>
        <v>1314.65</v>
      </c>
      <c r="AG16" s="333">
        <f t="shared" si="6"/>
        <v>1415.6718</v>
      </c>
      <c r="AH16" s="334">
        <f t="shared" si="1"/>
        <v>0</v>
      </c>
      <c r="AI16" s="334">
        <f t="shared" si="1"/>
        <v>0</v>
      </c>
      <c r="AJ16" s="335"/>
      <c r="AK16" s="320">
        <f t="shared" si="2"/>
        <v>245.62200000000004</v>
      </c>
      <c r="AL16" s="320">
        <f t="shared" si="3"/>
        <v>73.32000000000001</v>
      </c>
      <c r="AM16" s="419">
        <v>0</v>
      </c>
      <c r="AN16" s="419">
        <v>0</v>
      </c>
      <c r="AO16" s="419">
        <v>0</v>
      </c>
      <c r="AP16" s="419">
        <v>0</v>
      </c>
      <c r="AQ16" s="419">
        <v>0</v>
      </c>
      <c r="AR16" s="419">
        <v>0</v>
      </c>
      <c r="AS16" s="413"/>
      <c r="AT16" s="336"/>
      <c r="AU16" s="337"/>
      <c r="AV16" s="337"/>
      <c r="AW16" s="337"/>
      <c r="AX16" s="337"/>
      <c r="AY16" s="65"/>
      <c r="AZ16" s="65"/>
      <c r="BA16" s="336"/>
      <c r="BB16" s="336"/>
      <c r="BC16" s="328">
        <f>SUM(AK16:BB16)</f>
        <v>318.94200000000006</v>
      </c>
      <c r="BD16" s="338"/>
      <c r="BE16" s="324">
        <f t="shared" si="4"/>
        <v>318.94200000000006</v>
      </c>
      <c r="BF16" s="324">
        <f>AG16-BE16</f>
        <v>1096.7298</v>
      </c>
      <c r="BG16" s="324">
        <f t="shared" si="5"/>
        <v>-963.29</v>
      </c>
      <c r="BH16" s="323"/>
      <c r="BI16" s="223"/>
      <c r="BJ16" s="221"/>
      <c r="BK16" s="221"/>
      <c r="BL16" s="221"/>
      <c r="BM16" s="221"/>
    </row>
    <row r="17" spans="1:65" ht="12.75">
      <c r="A17" s="305" t="s">
        <v>51</v>
      </c>
      <c r="B17" s="306">
        <v>366.6</v>
      </c>
      <c r="C17" s="87">
        <f>(B17*0.87)+((B17*5.17*0.9*0.9*0.9*0.9)+(B17*2.51*0.9*0.9*0.9*0.9))</f>
        <v>2166.1836768000003</v>
      </c>
      <c r="D17" s="332">
        <v>101.02179999999998</v>
      </c>
      <c r="E17" s="353"/>
      <c r="F17" s="353"/>
      <c r="G17" s="353">
        <v>1268.11</v>
      </c>
      <c r="H17" s="353"/>
      <c r="I17" s="353"/>
      <c r="J17" s="353"/>
      <c r="K17" s="353"/>
      <c r="L17" s="353"/>
      <c r="M17" s="353">
        <v>684.22</v>
      </c>
      <c r="N17" s="353"/>
      <c r="O17" s="353">
        <v>325.61</v>
      </c>
      <c r="P17" s="353"/>
      <c r="Q17" s="353"/>
      <c r="R17" s="353"/>
      <c r="S17" s="354"/>
      <c r="T17" s="350"/>
      <c r="U17" s="358">
        <f t="shared" si="0"/>
        <v>2277.94</v>
      </c>
      <c r="V17" s="359">
        <f t="shared" si="0"/>
        <v>0</v>
      </c>
      <c r="W17" s="353">
        <v>6.23</v>
      </c>
      <c r="X17" s="353">
        <v>417.31</v>
      </c>
      <c r="Y17" s="353">
        <v>2.35</v>
      </c>
      <c r="Z17" s="353">
        <v>10.25</v>
      </c>
      <c r="AA17" s="353">
        <v>240.07</v>
      </c>
      <c r="AB17" s="353">
        <v>112.09</v>
      </c>
      <c r="AC17" s="353"/>
      <c r="AD17" s="353"/>
      <c r="AE17" s="354"/>
      <c r="AF17" s="351">
        <f t="shared" si="7"/>
        <v>788.3000000000001</v>
      </c>
      <c r="AG17" s="333">
        <f t="shared" si="6"/>
        <v>889.3218</v>
      </c>
      <c r="AH17" s="334">
        <f t="shared" si="1"/>
        <v>0</v>
      </c>
      <c r="AI17" s="334">
        <f t="shared" si="1"/>
        <v>0</v>
      </c>
      <c r="AJ17" s="335"/>
      <c r="AK17" s="320">
        <f t="shared" si="2"/>
        <v>245.62200000000004</v>
      </c>
      <c r="AL17" s="320">
        <f t="shared" si="3"/>
        <v>73.32000000000001</v>
      </c>
      <c r="AM17" s="419">
        <v>0</v>
      </c>
      <c r="AN17" s="419">
        <v>0</v>
      </c>
      <c r="AO17" s="419">
        <v>0</v>
      </c>
      <c r="AP17" s="419">
        <v>0</v>
      </c>
      <c r="AQ17" s="419">
        <v>0</v>
      </c>
      <c r="AR17" s="419">
        <v>0</v>
      </c>
      <c r="AS17" s="413"/>
      <c r="AT17" s="336"/>
      <c r="AU17" s="337"/>
      <c r="AV17" s="337"/>
      <c r="AW17" s="337"/>
      <c r="AX17" s="337"/>
      <c r="AY17" s="65"/>
      <c r="AZ17" s="65"/>
      <c r="BA17" s="336"/>
      <c r="BB17" s="336"/>
      <c r="BC17" s="328">
        <f>SUM(AK17:BB17)</f>
        <v>318.94200000000006</v>
      </c>
      <c r="BD17" s="338"/>
      <c r="BE17" s="324">
        <f t="shared" si="4"/>
        <v>318.94200000000006</v>
      </c>
      <c r="BF17" s="324">
        <f>AG17-BE17</f>
        <v>570.3797999999999</v>
      </c>
      <c r="BG17" s="324">
        <f t="shared" si="5"/>
        <v>-1489.6399999999999</v>
      </c>
      <c r="BH17" s="323"/>
      <c r="BI17" s="223"/>
      <c r="BJ17" s="221"/>
      <c r="BK17" s="221"/>
      <c r="BL17" s="221"/>
      <c r="BM17" s="221"/>
    </row>
    <row r="18" spans="1:65" ht="12.75">
      <c r="A18" s="305" t="s">
        <v>52</v>
      </c>
      <c r="B18" s="306">
        <v>366.6</v>
      </c>
      <c r="C18" s="87">
        <f>(B18*0.87)+((B18*5.17*0.9*0.9*0.9*0.9)+(B18*2.51*0.9*0.9*0.9*0.9))</f>
        <v>2166.1836768000003</v>
      </c>
      <c r="D18" s="332">
        <v>101.02179999999998</v>
      </c>
      <c r="E18" s="353"/>
      <c r="F18" s="353"/>
      <c r="G18" s="353">
        <v>1268.11</v>
      </c>
      <c r="H18" s="353"/>
      <c r="I18" s="353"/>
      <c r="J18" s="353"/>
      <c r="K18" s="353"/>
      <c r="L18" s="353"/>
      <c r="M18" s="353">
        <v>684.22</v>
      </c>
      <c r="N18" s="353"/>
      <c r="O18" s="353">
        <v>325.61</v>
      </c>
      <c r="P18" s="353"/>
      <c r="Q18" s="353"/>
      <c r="R18" s="353"/>
      <c r="S18" s="354"/>
      <c r="T18" s="360"/>
      <c r="U18" s="360">
        <f t="shared" si="0"/>
        <v>2277.94</v>
      </c>
      <c r="V18" s="361">
        <f t="shared" si="0"/>
        <v>0</v>
      </c>
      <c r="W18" s="353">
        <v>6.25</v>
      </c>
      <c r="X18" s="353">
        <v>850.25</v>
      </c>
      <c r="Y18" s="353">
        <v>2.36</v>
      </c>
      <c r="Z18" s="353">
        <v>10.27</v>
      </c>
      <c r="AA18" s="353">
        <v>473.84</v>
      </c>
      <c r="AB18" s="353">
        <v>223.23</v>
      </c>
      <c r="AC18" s="353"/>
      <c r="AD18" s="353"/>
      <c r="AE18" s="354"/>
      <c r="AF18" s="351">
        <f t="shared" si="7"/>
        <v>1566.2</v>
      </c>
      <c r="AG18" s="333">
        <f t="shared" si="6"/>
        <v>1667.2218</v>
      </c>
      <c r="AH18" s="334">
        <f t="shared" si="1"/>
        <v>0</v>
      </c>
      <c r="AI18" s="334">
        <f t="shared" si="1"/>
        <v>0</v>
      </c>
      <c r="AJ18" s="335"/>
      <c r="AK18" s="320">
        <f t="shared" si="2"/>
        <v>245.62200000000004</v>
      </c>
      <c r="AL18" s="320">
        <f t="shared" si="3"/>
        <v>73.32000000000001</v>
      </c>
      <c r="AM18" s="419">
        <v>0</v>
      </c>
      <c r="AN18" s="419">
        <v>0</v>
      </c>
      <c r="AO18" s="419">
        <v>0</v>
      </c>
      <c r="AP18" s="419">
        <v>0</v>
      </c>
      <c r="AQ18" s="419">
        <v>0</v>
      </c>
      <c r="AR18" s="419">
        <v>0</v>
      </c>
      <c r="AS18" s="413"/>
      <c r="AT18" s="336"/>
      <c r="AU18" s="337"/>
      <c r="AV18" s="337"/>
      <c r="AW18" s="337"/>
      <c r="AX18" s="337"/>
      <c r="AY18" s="65"/>
      <c r="AZ18" s="65"/>
      <c r="BA18" s="336"/>
      <c r="BB18" s="336"/>
      <c r="BC18" s="328">
        <f>SUM(AK18:BB18)</f>
        <v>318.94200000000006</v>
      </c>
      <c r="BD18" s="338"/>
      <c r="BE18" s="324">
        <f t="shared" si="4"/>
        <v>318.94200000000006</v>
      </c>
      <c r="BF18" s="324">
        <f>AG18-BE18</f>
        <v>1348.2798</v>
      </c>
      <c r="BG18" s="324">
        <f t="shared" si="5"/>
        <v>-711.74</v>
      </c>
      <c r="BH18" s="324"/>
      <c r="BI18" s="223"/>
      <c r="BJ18" s="223"/>
      <c r="BK18" s="221"/>
      <c r="BL18" s="221"/>
      <c r="BM18" s="221"/>
    </row>
    <row r="19" spans="1:61" ht="12.75">
      <c r="A19" s="305" t="s">
        <v>40</v>
      </c>
      <c r="B19" s="306">
        <v>366.6</v>
      </c>
      <c r="C19" s="87">
        <f>(B19*0.87)+((B19*5.17*0.9*0.9*0.9*0.9)+(B19*2.51*0.9*0.9*0.9*0.9))</f>
        <v>2166.1836768000003</v>
      </c>
      <c r="D19" s="363">
        <v>101.02179999999998</v>
      </c>
      <c r="E19" s="344"/>
      <c r="F19" s="344"/>
      <c r="G19" s="344">
        <v>1268.11</v>
      </c>
      <c r="H19" s="344"/>
      <c r="I19" s="344"/>
      <c r="J19" s="344"/>
      <c r="K19" s="344"/>
      <c r="L19" s="344"/>
      <c r="M19" s="344">
        <v>684.22</v>
      </c>
      <c r="N19" s="344"/>
      <c r="O19" s="344">
        <v>325.61</v>
      </c>
      <c r="P19" s="344"/>
      <c r="Q19" s="344"/>
      <c r="R19" s="344"/>
      <c r="S19" s="350"/>
      <c r="T19" s="364"/>
      <c r="U19" s="365">
        <f t="shared" si="0"/>
        <v>2277.94</v>
      </c>
      <c r="V19" s="366">
        <f t="shared" si="0"/>
        <v>0</v>
      </c>
      <c r="W19" s="344">
        <v>0</v>
      </c>
      <c r="X19" s="344">
        <v>292.58</v>
      </c>
      <c r="Y19" s="344">
        <v>0</v>
      </c>
      <c r="Z19" s="344">
        <v>0</v>
      </c>
      <c r="AA19" s="344">
        <v>157.94</v>
      </c>
      <c r="AB19" s="344">
        <v>75.09</v>
      </c>
      <c r="AC19" s="344"/>
      <c r="AD19" s="344"/>
      <c r="AE19" s="350"/>
      <c r="AF19" s="351">
        <f t="shared" si="7"/>
        <v>525.61</v>
      </c>
      <c r="AG19" s="333">
        <f t="shared" si="6"/>
        <v>626.6318</v>
      </c>
      <c r="AH19" s="334">
        <f t="shared" si="1"/>
        <v>0</v>
      </c>
      <c r="AI19" s="334">
        <f t="shared" si="1"/>
        <v>0</v>
      </c>
      <c r="AJ19" s="335"/>
      <c r="AK19" s="320">
        <f t="shared" si="2"/>
        <v>245.62200000000004</v>
      </c>
      <c r="AL19" s="320">
        <f t="shared" si="3"/>
        <v>73.32000000000001</v>
      </c>
      <c r="AM19" s="419">
        <v>0</v>
      </c>
      <c r="AN19" s="419">
        <v>0</v>
      </c>
      <c r="AO19" s="419">
        <v>0</v>
      </c>
      <c r="AP19" s="419">
        <v>0</v>
      </c>
      <c r="AQ19" s="419">
        <v>0</v>
      </c>
      <c r="AR19" s="419">
        <v>0</v>
      </c>
      <c r="AS19" s="419">
        <v>0</v>
      </c>
      <c r="AT19" s="336"/>
      <c r="AU19" s="337"/>
      <c r="AV19" s="337"/>
      <c r="AW19" s="337"/>
      <c r="AX19" s="337"/>
      <c r="AY19" s="65"/>
      <c r="AZ19" s="65"/>
      <c r="BA19" s="336"/>
      <c r="BB19" s="336"/>
      <c r="BC19" s="328">
        <f>SUM(AK19:BB19)</f>
        <v>318.94200000000006</v>
      </c>
      <c r="BD19" s="338"/>
      <c r="BE19" s="324">
        <f t="shared" si="4"/>
        <v>318.94200000000006</v>
      </c>
      <c r="BF19" s="324">
        <f>AG19-BE19</f>
        <v>307.68979999999993</v>
      </c>
      <c r="BG19" s="324">
        <f t="shared" si="5"/>
        <v>-1752.33</v>
      </c>
      <c r="BH19" s="367"/>
      <c r="BI19" s="223"/>
    </row>
    <row r="20" spans="1:61" ht="12.75">
      <c r="A20" s="305" t="s">
        <v>41</v>
      </c>
      <c r="B20" s="306">
        <v>366.6</v>
      </c>
      <c r="C20" s="87">
        <f>(B20*0.87)+((B20*5.17*0.9*0.9*0.9*0.9)+(B20*2.51*0.9*0.9*0.9*0.9))</f>
        <v>2166.1836768000003</v>
      </c>
      <c r="D20" s="368">
        <v>101.02179999999998</v>
      </c>
      <c r="E20" s="344"/>
      <c r="F20" s="344"/>
      <c r="G20" s="344">
        <v>1268.11</v>
      </c>
      <c r="H20" s="344"/>
      <c r="I20" s="344"/>
      <c r="J20" s="344"/>
      <c r="K20" s="344"/>
      <c r="L20" s="344"/>
      <c r="M20" s="344">
        <v>684.23</v>
      </c>
      <c r="N20" s="344"/>
      <c r="O20" s="344">
        <v>325.6</v>
      </c>
      <c r="P20" s="344"/>
      <c r="Q20" s="344"/>
      <c r="R20" s="344"/>
      <c r="S20" s="350"/>
      <c r="T20" s="364"/>
      <c r="U20" s="365">
        <f t="shared" si="0"/>
        <v>2277.94</v>
      </c>
      <c r="V20" s="366">
        <f t="shared" si="0"/>
        <v>0</v>
      </c>
      <c r="W20" s="344">
        <v>0</v>
      </c>
      <c r="X20" s="344">
        <v>1188.85</v>
      </c>
      <c r="Y20" s="344">
        <v>0</v>
      </c>
      <c r="Z20" s="344">
        <v>0</v>
      </c>
      <c r="AA20" s="344">
        <v>641.73</v>
      </c>
      <c r="AB20" s="344">
        <v>305.11</v>
      </c>
      <c r="AC20" s="344"/>
      <c r="AD20" s="344"/>
      <c r="AE20" s="350"/>
      <c r="AF20" s="351">
        <f t="shared" si="7"/>
        <v>2135.69</v>
      </c>
      <c r="AG20" s="333">
        <f t="shared" si="6"/>
        <v>2236.7118</v>
      </c>
      <c r="AH20" s="334">
        <f t="shared" si="1"/>
        <v>0</v>
      </c>
      <c r="AI20" s="334">
        <f t="shared" si="1"/>
        <v>0</v>
      </c>
      <c r="AJ20" s="335"/>
      <c r="AK20" s="320">
        <f t="shared" si="2"/>
        <v>245.62200000000004</v>
      </c>
      <c r="AL20" s="320">
        <f t="shared" si="3"/>
        <v>73.32000000000001</v>
      </c>
      <c r="AM20" s="419">
        <v>0</v>
      </c>
      <c r="AN20" s="419">
        <v>0</v>
      </c>
      <c r="AO20" s="419">
        <v>0</v>
      </c>
      <c r="AP20" s="419">
        <v>0</v>
      </c>
      <c r="AQ20" s="419">
        <v>0</v>
      </c>
      <c r="AR20" s="419">
        <v>0</v>
      </c>
      <c r="AS20" s="419">
        <v>0</v>
      </c>
      <c r="AT20" s="336"/>
      <c r="AU20" s="337"/>
      <c r="AV20" s="337"/>
      <c r="AW20" s="337"/>
      <c r="AX20" s="337"/>
      <c r="AY20" s="65"/>
      <c r="AZ20" s="65"/>
      <c r="BA20" s="336"/>
      <c r="BB20" s="336"/>
      <c r="BC20" s="328">
        <f>SUM(AK20:BB20)</f>
        <v>318.94200000000006</v>
      </c>
      <c r="BD20" s="338"/>
      <c r="BE20" s="324">
        <f t="shared" si="4"/>
        <v>318.94200000000006</v>
      </c>
      <c r="BF20" s="324">
        <f>AG20-BE20</f>
        <v>1917.7698</v>
      </c>
      <c r="BG20" s="324">
        <f t="shared" si="5"/>
        <v>-142.25</v>
      </c>
      <c r="BH20" s="367"/>
      <c r="BI20" s="223"/>
    </row>
    <row r="21" spans="1:61" ht="13.5" thickBot="1">
      <c r="A21" s="305" t="s">
        <v>42</v>
      </c>
      <c r="B21" s="306">
        <v>366.6</v>
      </c>
      <c r="C21" s="87">
        <f>B21*1</f>
        <v>366.6</v>
      </c>
      <c r="D21" s="368">
        <v>101.02179999999998</v>
      </c>
      <c r="E21" s="369"/>
      <c r="F21" s="369"/>
      <c r="G21" s="369">
        <v>0</v>
      </c>
      <c r="H21" s="369"/>
      <c r="I21" s="369"/>
      <c r="J21" s="369"/>
      <c r="K21" s="369"/>
      <c r="L21" s="369"/>
      <c r="M21" s="369">
        <v>0</v>
      </c>
      <c r="N21" s="369"/>
      <c r="O21" s="369">
        <v>366.6</v>
      </c>
      <c r="P21" s="369"/>
      <c r="Q21" s="369"/>
      <c r="R21" s="369"/>
      <c r="S21" s="370"/>
      <c r="T21" s="371"/>
      <c r="U21" s="365">
        <f t="shared" si="0"/>
        <v>366.6</v>
      </c>
      <c r="V21" s="366">
        <f t="shared" si="0"/>
        <v>0</v>
      </c>
      <c r="W21" s="344">
        <v>0</v>
      </c>
      <c r="X21" s="344">
        <v>1376.14</v>
      </c>
      <c r="Y21" s="344">
        <v>0</v>
      </c>
      <c r="Z21" s="344">
        <v>0</v>
      </c>
      <c r="AA21" s="344">
        <v>742.51</v>
      </c>
      <c r="AB21" s="344">
        <v>1891.8</v>
      </c>
      <c r="AC21" s="344"/>
      <c r="AD21" s="344"/>
      <c r="AE21" s="350"/>
      <c r="AF21" s="351">
        <f t="shared" si="7"/>
        <v>4010.45</v>
      </c>
      <c r="AG21" s="333">
        <f t="shared" si="6"/>
        <v>4111.471799999999</v>
      </c>
      <c r="AH21" s="334">
        <f t="shared" si="1"/>
        <v>0</v>
      </c>
      <c r="AI21" s="334">
        <f t="shared" si="1"/>
        <v>0</v>
      </c>
      <c r="AJ21" s="335"/>
      <c r="AK21" s="320">
        <f t="shared" si="2"/>
        <v>245.62200000000004</v>
      </c>
      <c r="AL21" s="320">
        <f t="shared" si="3"/>
        <v>73.32000000000001</v>
      </c>
      <c r="AM21" s="419">
        <v>0</v>
      </c>
      <c r="AN21" s="419">
        <v>0</v>
      </c>
      <c r="AO21" s="419">
        <v>0</v>
      </c>
      <c r="AP21" s="419">
        <v>0</v>
      </c>
      <c r="AQ21" s="419">
        <v>0</v>
      </c>
      <c r="AR21" s="419">
        <v>0</v>
      </c>
      <c r="AS21" s="419">
        <v>0</v>
      </c>
      <c r="AT21" s="336"/>
      <c r="AU21" s="337"/>
      <c r="AV21" s="337"/>
      <c r="AW21" s="337"/>
      <c r="AX21" s="337">
        <f>4208+100</f>
        <v>4308</v>
      </c>
      <c r="AY21" s="65"/>
      <c r="AZ21" s="65"/>
      <c r="BA21" s="336"/>
      <c r="BB21" s="336"/>
      <c r="BC21" s="328">
        <f>SUM(AK21:BB21)</f>
        <v>4626.942</v>
      </c>
      <c r="BD21" s="338"/>
      <c r="BE21" s="324">
        <f t="shared" si="4"/>
        <v>4626.942</v>
      </c>
      <c r="BF21" s="324">
        <f>AG21-BE21</f>
        <v>-515.4702000000007</v>
      </c>
      <c r="BG21" s="324">
        <f t="shared" si="5"/>
        <v>3643.85</v>
      </c>
      <c r="BH21" s="367"/>
      <c r="BI21" s="223"/>
    </row>
    <row r="22" spans="1:61" s="17" customFormat="1" ht="13.5" thickBot="1">
      <c r="A22" s="372" t="s">
        <v>5</v>
      </c>
      <c r="B22" s="373"/>
      <c r="C22" s="374">
        <f aca="true" t="shared" si="8" ref="C22:BD22">SUM(C10:C21)</f>
        <v>24235.982380799996</v>
      </c>
      <c r="D22" s="374">
        <f t="shared" si="8"/>
        <v>1212.2615999999998</v>
      </c>
      <c r="E22" s="374">
        <f t="shared" si="8"/>
        <v>0</v>
      </c>
      <c r="F22" s="374">
        <f t="shared" si="8"/>
        <v>0</v>
      </c>
      <c r="G22" s="374">
        <f t="shared" si="8"/>
        <v>13975.610000000002</v>
      </c>
      <c r="H22" s="374">
        <f t="shared" si="8"/>
        <v>0</v>
      </c>
      <c r="I22" s="374">
        <f t="shared" si="8"/>
        <v>0</v>
      </c>
      <c r="J22" s="374">
        <f t="shared" si="8"/>
        <v>0</v>
      </c>
      <c r="K22" s="374">
        <f t="shared" si="8"/>
        <v>0</v>
      </c>
      <c r="L22" s="374">
        <f t="shared" si="8"/>
        <v>0</v>
      </c>
      <c r="M22" s="374">
        <f t="shared" si="8"/>
        <v>7540.630000000001</v>
      </c>
      <c r="N22" s="374">
        <f t="shared" si="8"/>
        <v>0</v>
      </c>
      <c r="O22" s="374">
        <f t="shared" si="8"/>
        <v>3955.1000000000004</v>
      </c>
      <c r="P22" s="374">
        <f t="shared" si="8"/>
        <v>0</v>
      </c>
      <c r="Q22" s="374">
        <f t="shared" si="8"/>
        <v>0</v>
      </c>
      <c r="R22" s="374">
        <f t="shared" si="8"/>
        <v>0</v>
      </c>
      <c r="S22" s="374">
        <f t="shared" si="8"/>
        <v>0</v>
      </c>
      <c r="T22" s="374">
        <f t="shared" si="8"/>
        <v>0</v>
      </c>
      <c r="U22" s="374">
        <f t="shared" si="8"/>
        <v>25471.339999999997</v>
      </c>
      <c r="V22" s="374">
        <f t="shared" si="8"/>
        <v>0</v>
      </c>
      <c r="W22" s="374">
        <f t="shared" si="8"/>
        <v>380.34000000000003</v>
      </c>
      <c r="X22" s="374">
        <f t="shared" si="8"/>
        <v>10153.1</v>
      </c>
      <c r="Y22" s="374">
        <f t="shared" si="8"/>
        <v>144.48</v>
      </c>
      <c r="Z22" s="374">
        <f t="shared" si="8"/>
        <v>628.8499999999999</v>
      </c>
      <c r="AA22" s="374">
        <f t="shared" si="8"/>
        <v>6108.0599999999995</v>
      </c>
      <c r="AB22" s="374">
        <f t="shared" si="8"/>
        <v>4355.990000000001</v>
      </c>
      <c r="AC22" s="374">
        <f t="shared" si="8"/>
        <v>0</v>
      </c>
      <c r="AD22" s="374">
        <f t="shared" si="8"/>
        <v>0</v>
      </c>
      <c r="AE22" s="374">
        <f t="shared" si="8"/>
        <v>0</v>
      </c>
      <c r="AF22" s="374">
        <f t="shared" si="8"/>
        <v>21770.820000000003</v>
      </c>
      <c r="AG22" s="374">
        <f t="shared" si="8"/>
        <v>22983.0816</v>
      </c>
      <c r="AH22" s="374">
        <f t="shared" si="8"/>
        <v>0</v>
      </c>
      <c r="AI22" s="374">
        <f t="shared" si="8"/>
        <v>0</v>
      </c>
      <c r="AJ22" s="374">
        <f t="shared" si="8"/>
        <v>0</v>
      </c>
      <c r="AK22" s="374">
        <f t="shared" si="8"/>
        <v>2952.1539999999995</v>
      </c>
      <c r="AL22" s="374">
        <f t="shared" si="8"/>
        <v>881.2400000000004</v>
      </c>
      <c r="AM22" s="374">
        <f t="shared" si="8"/>
        <v>0</v>
      </c>
      <c r="AN22" s="374">
        <f t="shared" si="8"/>
        <v>0</v>
      </c>
      <c r="AO22" s="374">
        <f t="shared" si="8"/>
        <v>0</v>
      </c>
      <c r="AP22" s="374">
        <f t="shared" si="8"/>
        <v>0</v>
      </c>
      <c r="AQ22" s="374">
        <f t="shared" si="8"/>
        <v>0</v>
      </c>
      <c r="AR22" s="374">
        <f t="shared" si="8"/>
        <v>0</v>
      </c>
      <c r="AS22" s="374">
        <f t="shared" si="8"/>
        <v>0</v>
      </c>
      <c r="AT22" s="374">
        <f t="shared" si="8"/>
        <v>0</v>
      </c>
      <c r="AU22" s="374">
        <f t="shared" si="8"/>
        <v>0</v>
      </c>
      <c r="AV22" s="374">
        <f t="shared" si="8"/>
        <v>0</v>
      </c>
      <c r="AW22" s="374">
        <f t="shared" si="8"/>
        <v>0</v>
      </c>
      <c r="AX22" s="374">
        <f t="shared" si="8"/>
        <v>4361.84</v>
      </c>
      <c r="AY22" s="374">
        <f t="shared" si="8"/>
        <v>0</v>
      </c>
      <c r="AZ22" s="374">
        <f t="shared" si="8"/>
        <v>0</v>
      </c>
      <c r="BA22" s="374">
        <f t="shared" si="8"/>
        <v>0</v>
      </c>
      <c r="BB22" s="374">
        <f t="shared" si="8"/>
        <v>0</v>
      </c>
      <c r="BC22" s="374">
        <f t="shared" si="8"/>
        <v>8195.234</v>
      </c>
      <c r="BD22" s="374">
        <f t="shared" si="8"/>
        <v>0</v>
      </c>
      <c r="BE22" s="374">
        <f>SUM(BE10:BE21)</f>
        <v>8195.234</v>
      </c>
      <c r="BF22" s="374">
        <f>SUM(BF10:BF21)</f>
        <v>14787.847600000001</v>
      </c>
      <c r="BG22" s="374">
        <f>SUM(BG10:BG21)</f>
        <v>-3700.52</v>
      </c>
      <c r="BH22" s="37"/>
      <c r="BI22" s="37"/>
    </row>
    <row r="23" spans="1:61" s="17" customFormat="1" ht="13.5" thickBot="1">
      <c r="A23" s="375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7"/>
      <c r="BF23" s="376"/>
      <c r="BG23" s="378"/>
      <c r="BI23" s="37"/>
    </row>
    <row r="24" spans="1:59" s="17" customFormat="1" ht="13.5" thickBot="1">
      <c r="A24" s="97" t="s">
        <v>53</v>
      </c>
      <c r="B24" s="376"/>
      <c r="C24" s="379">
        <f aca="true" t="shared" si="9" ref="C24:AD24">C22+C8</f>
        <v>94380.5623808</v>
      </c>
      <c r="D24" s="379">
        <f t="shared" si="9"/>
        <v>24708.949100000013</v>
      </c>
      <c r="E24" s="379">
        <f t="shared" si="9"/>
        <v>6045.950000000001</v>
      </c>
      <c r="F24" s="379">
        <f t="shared" si="9"/>
        <v>1171.3600000000001</v>
      </c>
      <c r="G24" s="379">
        <f t="shared" si="9"/>
        <v>13975.610000000002</v>
      </c>
      <c r="H24" s="379">
        <f t="shared" si="9"/>
        <v>0</v>
      </c>
      <c r="I24" s="379">
        <f t="shared" si="9"/>
        <v>2266.8399999999997</v>
      </c>
      <c r="J24" s="379">
        <f t="shared" si="9"/>
        <v>440.05999999999995</v>
      </c>
      <c r="K24" s="379">
        <f t="shared" si="9"/>
        <v>9719.81</v>
      </c>
      <c r="L24" s="379">
        <f t="shared" si="9"/>
        <v>1836.9299999999998</v>
      </c>
      <c r="M24" s="379">
        <f t="shared" si="9"/>
        <v>21594.89</v>
      </c>
      <c r="N24" s="379">
        <f t="shared" si="9"/>
        <v>2658.2</v>
      </c>
      <c r="O24" s="379">
        <f t="shared" si="9"/>
        <v>8791.99</v>
      </c>
      <c r="P24" s="379">
        <f t="shared" si="9"/>
        <v>937.12</v>
      </c>
      <c r="Q24" s="379">
        <f t="shared" si="9"/>
        <v>0</v>
      </c>
      <c r="R24" s="379">
        <f t="shared" si="9"/>
        <v>0</v>
      </c>
      <c r="S24" s="379">
        <f t="shared" si="9"/>
        <v>0</v>
      </c>
      <c r="T24" s="379">
        <f t="shared" si="9"/>
        <v>0</v>
      </c>
      <c r="U24" s="379">
        <f t="shared" si="9"/>
        <v>105988.27</v>
      </c>
      <c r="V24" s="379">
        <f t="shared" si="9"/>
        <v>12652.319999999998</v>
      </c>
      <c r="W24" s="379">
        <f t="shared" si="9"/>
        <v>4769.89</v>
      </c>
      <c r="X24" s="379">
        <f t="shared" si="9"/>
        <v>10153.1</v>
      </c>
      <c r="Y24" s="379">
        <f t="shared" si="9"/>
        <v>1784.17</v>
      </c>
      <c r="Z24" s="379">
        <f t="shared" si="9"/>
        <v>7454.82</v>
      </c>
      <c r="AA24" s="379">
        <f t="shared" si="9"/>
        <v>15980.9</v>
      </c>
      <c r="AB24" s="379">
        <f t="shared" si="9"/>
        <v>7989.93</v>
      </c>
      <c r="AC24" s="379">
        <f t="shared" si="9"/>
        <v>0</v>
      </c>
      <c r="AD24" s="379">
        <f t="shared" si="9"/>
        <v>0</v>
      </c>
      <c r="AE24" s="379">
        <f>AE22+AF8</f>
        <v>58483.100000000006</v>
      </c>
      <c r="AF24" s="379" t="e">
        <f>AF22+#REF!</f>
        <v>#REF!</v>
      </c>
      <c r="AG24" s="379">
        <f aca="true" t="shared" si="10" ref="AG24:BG24">AG22+AG8</f>
        <v>117615.18910000002</v>
      </c>
      <c r="AH24" s="379">
        <f t="shared" si="10"/>
        <v>0</v>
      </c>
      <c r="AI24" s="379">
        <f t="shared" si="10"/>
        <v>0</v>
      </c>
      <c r="AJ24" s="379">
        <f t="shared" si="10"/>
        <v>0</v>
      </c>
      <c r="AK24" s="379">
        <f t="shared" si="10"/>
        <v>7773.442</v>
      </c>
      <c r="AL24" s="379">
        <f t="shared" si="10"/>
        <v>2491.6249700000008</v>
      </c>
      <c r="AM24" s="379">
        <f t="shared" si="10"/>
        <v>8014.17184699</v>
      </c>
      <c r="AN24" s="379">
        <f t="shared" si="10"/>
        <v>0</v>
      </c>
      <c r="AO24" s="379">
        <f t="shared" si="10"/>
        <v>7821.3797714724</v>
      </c>
      <c r="AP24" s="379">
        <f t="shared" si="10"/>
        <v>17974.1976949468</v>
      </c>
      <c r="AQ24" s="379">
        <f t="shared" si="10"/>
        <v>0</v>
      </c>
      <c r="AR24" s="379">
        <f t="shared" si="10"/>
        <v>0</v>
      </c>
      <c r="AS24" s="379">
        <f t="shared" si="10"/>
        <v>0</v>
      </c>
      <c r="AT24" s="379">
        <f t="shared" si="10"/>
        <v>0</v>
      </c>
      <c r="AU24" s="379">
        <f t="shared" si="10"/>
        <v>6333.6028</v>
      </c>
      <c r="AV24" s="379">
        <f t="shared" si="10"/>
        <v>0</v>
      </c>
      <c r="AW24" s="379">
        <f t="shared" si="10"/>
        <v>47.8</v>
      </c>
      <c r="AX24" s="379">
        <f t="shared" si="10"/>
        <v>11168.552</v>
      </c>
      <c r="AY24" s="379">
        <f t="shared" si="10"/>
        <v>-923.9999999999998</v>
      </c>
      <c r="AZ24" s="379">
        <f t="shared" si="10"/>
        <v>0</v>
      </c>
      <c r="BA24" s="379">
        <f t="shared" si="10"/>
        <v>0</v>
      </c>
      <c r="BB24" s="379">
        <f t="shared" si="10"/>
        <v>0</v>
      </c>
      <c r="BC24" s="379">
        <f t="shared" si="10"/>
        <v>60700.7710834092</v>
      </c>
      <c r="BD24" s="379">
        <f t="shared" si="10"/>
        <v>0</v>
      </c>
      <c r="BE24" s="380">
        <f t="shared" si="10"/>
        <v>60700.7710834092</v>
      </c>
      <c r="BF24" s="379">
        <f t="shared" si="10"/>
        <v>56914.41801659081</v>
      </c>
      <c r="BG24" s="381">
        <f t="shared" si="10"/>
        <v>-25734.349999999995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I44" sqref="I44:L44"/>
    </sheetView>
  </sheetViews>
  <sheetFormatPr defaultColWidth="9.00390625" defaultRowHeight="12.75"/>
  <cols>
    <col min="1" max="1" width="10.00390625" style="222" customWidth="1"/>
    <col min="2" max="2" width="11.00390625" style="222" customWidth="1"/>
    <col min="3" max="3" width="9.875" style="222" customWidth="1"/>
    <col min="4" max="4" width="10.875" style="222" customWidth="1"/>
    <col min="5" max="5" width="10.125" style="222" bestFit="1" customWidth="1"/>
    <col min="6" max="6" width="9.00390625" style="222" customWidth="1"/>
    <col min="7" max="7" width="10.00390625" style="222" customWidth="1"/>
    <col min="8" max="8" width="10.125" style="222" customWidth="1"/>
    <col min="9" max="9" width="9.25390625" style="222" customWidth="1"/>
    <col min="10" max="10" width="9.875" style="222" customWidth="1"/>
    <col min="11" max="11" width="10.875" style="222" customWidth="1"/>
    <col min="12" max="12" width="10.125" style="222" customWidth="1"/>
    <col min="13" max="13" width="9.375" style="222" hidden="1" customWidth="1"/>
    <col min="14" max="14" width="10.375" style="222" customWidth="1"/>
    <col min="15" max="15" width="10.75390625" style="222" customWidth="1"/>
    <col min="16" max="16" width="11.75390625" style="222" customWidth="1"/>
    <col min="17" max="16384" width="9.125" style="222" customWidth="1"/>
  </cols>
  <sheetData>
    <row r="1" spans="2:8" ht="20.25" customHeight="1">
      <c r="B1" s="382" t="s">
        <v>54</v>
      </c>
      <c r="C1" s="382"/>
      <c r="D1" s="382"/>
      <c r="E1" s="382"/>
      <c r="F1" s="382"/>
      <c r="G1" s="382"/>
      <c r="H1" s="382"/>
    </row>
    <row r="2" spans="2:8" ht="21" customHeight="1">
      <c r="B2" s="382" t="s">
        <v>55</v>
      </c>
      <c r="C2" s="382"/>
      <c r="D2" s="382"/>
      <c r="E2" s="382"/>
      <c r="F2" s="382"/>
      <c r="G2" s="382"/>
      <c r="H2" s="382"/>
    </row>
    <row r="5" spans="1:15" ht="12.75">
      <c r="A5" s="208" t="s">
        <v>120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5" ht="12.75">
      <c r="A6" s="383" t="s">
        <v>115</v>
      </c>
      <c r="B6" s="383"/>
      <c r="C6" s="383"/>
      <c r="D6" s="383"/>
      <c r="E6" s="383"/>
      <c r="F6" s="383"/>
      <c r="G6" s="383"/>
      <c r="H6" s="384"/>
      <c r="I6" s="384"/>
      <c r="J6" s="384"/>
      <c r="K6" s="384"/>
      <c r="L6" s="384"/>
      <c r="M6" s="384"/>
      <c r="N6" s="384"/>
      <c r="O6" s="384"/>
    </row>
    <row r="7" spans="1:6" ht="13.5" thickBot="1">
      <c r="A7" s="385" t="s">
        <v>56</v>
      </c>
      <c r="B7" s="385"/>
      <c r="C7" s="385"/>
      <c r="D7" s="385"/>
      <c r="E7" s="385">
        <v>1</v>
      </c>
      <c r="F7" s="385"/>
    </row>
    <row r="8" spans="1:16" ht="12.75" customHeight="1">
      <c r="A8" s="149" t="s">
        <v>57</v>
      </c>
      <c r="B8" s="210" t="s">
        <v>1</v>
      </c>
      <c r="C8" s="213" t="s">
        <v>121</v>
      </c>
      <c r="D8" s="216" t="s">
        <v>3</v>
      </c>
      <c r="E8" s="187" t="s">
        <v>59</v>
      </c>
      <c r="F8" s="188"/>
      <c r="G8" s="191" t="s">
        <v>81</v>
      </c>
      <c r="H8" s="192"/>
      <c r="I8" s="195" t="s">
        <v>10</v>
      </c>
      <c r="J8" s="173"/>
      <c r="K8" s="173"/>
      <c r="L8" s="173"/>
      <c r="M8" s="173"/>
      <c r="N8" s="196"/>
      <c r="O8" s="199" t="s">
        <v>60</v>
      </c>
      <c r="P8" s="199" t="s">
        <v>12</v>
      </c>
    </row>
    <row r="9" spans="1:16" ht="12.75">
      <c r="A9" s="150"/>
      <c r="B9" s="211"/>
      <c r="C9" s="214"/>
      <c r="D9" s="217"/>
      <c r="E9" s="189"/>
      <c r="F9" s="190"/>
      <c r="G9" s="193"/>
      <c r="H9" s="194"/>
      <c r="I9" s="197"/>
      <c r="J9" s="146"/>
      <c r="K9" s="146"/>
      <c r="L9" s="146"/>
      <c r="M9" s="146"/>
      <c r="N9" s="198"/>
      <c r="O9" s="200"/>
      <c r="P9" s="200"/>
    </row>
    <row r="10" spans="1:16" ht="26.25" customHeight="1">
      <c r="A10" s="150"/>
      <c r="B10" s="211"/>
      <c r="C10" s="214"/>
      <c r="D10" s="217"/>
      <c r="E10" s="219" t="s">
        <v>61</v>
      </c>
      <c r="F10" s="220"/>
      <c r="G10" s="103" t="s">
        <v>62</v>
      </c>
      <c r="H10" s="202" t="s">
        <v>7</v>
      </c>
      <c r="I10" s="204" t="s">
        <v>63</v>
      </c>
      <c r="J10" s="206" t="s">
        <v>116</v>
      </c>
      <c r="K10" s="206" t="s">
        <v>64</v>
      </c>
      <c r="L10" s="206" t="s">
        <v>37</v>
      </c>
      <c r="M10" s="206" t="s">
        <v>65</v>
      </c>
      <c r="N10" s="202" t="s">
        <v>39</v>
      </c>
      <c r="O10" s="200"/>
      <c r="P10" s="200"/>
    </row>
    <row r="11" spans="1:16" ht="66.75" customHeight="1" thickBot="1">
      <c r="A11" s="209"/>
      <c r="B11" s="212"/>
      <c r="C11" s="215"/>
      <c r="D11" s="218"/>
      <c r="E11" s="23" t="s">
        <v>66</v>
      </c>
      <c r="F11" s="24" t="s">
        <v>21</v>
      </c>
      <c r="G11" s="51" t="s">
        <v>82</v>
      </c>
      <c r="H11" s="203"/>
      <c r="I11" s="205"/>
      <c r="J11" s="207"/>
      <c r="K11" s="207"/>
      <c r="L11" s="207"/>
      <c r="M11" s="207"/>
      <c r="N11" s="203"/>
      <c r="O11" s="201"/>
      <c r="P11" s="201"/>
    </row>
    <row r="12" spans="1:16" ht="13.5" thickBot="1">
      <c r="A12" s="25">
        <v>1</v>
      </c>
      <c r="B12" s="26">
        <v>2</v>
      </c>
      <c r="C12" s="25">
        <v>3</v>
      </c>
      <c r="D12" s="26">
        <v>4</v>
      </c>
      <c r="E12" s="25">
        <v>5</v>
      </c>
      <c r="F12" s="26">
        <v>6</v>
      </c>
      <c r="G12" s="25">
        <v>7</v>
      </c>
      <c r="H12" s="26">
        <v>8</v>
      </c>
      <c r="I12" s="25">
        <v>9</v>
      </c>
      <c r="J12" s="26">
        <v>10</v>
      </c>
      <c r="K12" s="25">
        <v>11</v>
      </c>
      <c r="L12" s="26">
        <v>12</v>
      </c>
      <c r="M12" s="25">
        <v>13</v>
      </c>
      <c r="N12" s="26">
        <v>14</v>
      </c>
      <c r="O12" s="25">
        <v>15</v>
      </c>
      <c r="P12" s="26">
        <v>16</v>
      </c>
    </row>
    <row r="13" spans="1:18" ht="13.5" hidden="1" thickBot="1">
      <c r="A13" s="6" t="s">
        <v>43</v>
      </c>
      <c r="B13" s="386"/>
      <c r="C13" s="38"/>
      <c r="D13" s="107"/>
      <c r="E13" s="387"/>
      <c r="F13" s="388"/>
      <c r="G13" s="389"/>
      <c r="H13" s="388"/>
      <c r="I13" s="389"/>
      <c r="J13" s="390"/>
      <c r="K13" s="390"/>
      <c r="L13" s="391"/>
      <c r="M13" s="108"/>
      <c r="N13" s="392"/>
      <c r="O13" s="393"/>
      <c r="P13" s="393"/>
      <c r="Q13" s="221"/>
      <c r="R13" s="221"/>
    </row>
    <row r="14" spans="1:18" ht="13.5" hidden="1" thickBot="1">
      <c r="A14" s="305" t="s">
        <v>44</v>
      </c>
      <c r="B14" s="104">
        <f>'[5]Лист1'!B8</f>
        <v>0</v>
      </c>
      <c r="C14" s="27">
        <f aca="true" t="shared" si="0" ref="C14:C25">B14*8.65</f>
        <v>0</v>
      </c>
      <c r="D14" s="105">
        <f>'[5]Лист1'!D8</f>
        <v>0</v>
      </c>
      <c r="E14" s="390">
        <f>'[5]Лист1'!S8</f>
        <v>0</v>
      </c>
      <c r="F14" s="392">
        <f>'[5]Лист1'!T8</f>
        <v>0</v>
      </c>
      <c r="G14" s="394">
        <f>'[5]Лист1'!AB8</f>
        <v>0</v>
      </c>
      <c r="H14" s="392">
        <f>'[5]Лист1'!AC8</f>
        <v>0</v>
      </c>
      <c r="I14" s="394">
        <f>'[5]Лист1'!AG8</f>
        <v>0</v>
      </c>
      <c r="J14" s="390">
        <f>'[5]Лист1'!AI8+'[5]Лист1'!AJ8</f>
        <v>0</v>
      </c>
      <c r="K14" s="390">
        <f>'[5]Лист1'!AH8+'[5]Лист1'!AK8+'[5]Лист1'!AL8+'[5]Лист1'!AM8+'[5]Лист1'!AN8+'[5]Лист1'!AO8+'[5]Лист1'!AP8+'[5]Лист1'!AQ8+'[5]Лист1'!AR8</f>
        <v>0</v>
      </c>
      <c r="L14" s="391">
        <f>'[5]Лист1'!AS8+'[5]Лист1'!AT8+'[5]Лист1'!AU8+'[5]Лист1'!AZ8+'[5]Лист1'!BA8</f>
        <v>0</v>
      </c>
      <c r="M14" s="391">
        <f>'[5]Лист1'!AX8</f>
        <v>0</v>
      </c>
      <c r="N14" s="392">
        <f>'[5]Лист1'!BB8</f>
        <v>0</v>
      </c>
      <c r="O14" s="393">
        <f>'[5]Лист1'!BD8</f>
        <v>0</v>
      </c>
      <c r="P14" s="393">
        <f>'[5]Лист1'!BE8</f>
        <v>0</v>
      </c>
      <c r="Q14" s="221"/>
      <c r="R14" s="221"/>
    </row>
    <row r="15" spans="1:18" ht="13.5" hidden="1" thickBot="1">
      <c r="A15" s="305" t="s">
        <v>45</v>
      </c>
      <c r="B15" s="104">
        <f>'[5]Лист1'!B9</f>
        <v>347</v>
      </c>
      <c r="C15" s="27">
        <f t="shared" si="0"/>
        <v>3001.55</v>
      </c>
      <c r="D15" s="105">
        <f>'[5]Лист1'!D9</f>
        <v>375.19375</v>
      </c>
      <c r="E15" s="390">
        <f>'[5]Лист1'!S9</f>
        <v>1402.63</v>
      </c>
      <c r="F15" s="392">
        <f>'[5]Лист1'!T9</f>
        <v>770.85</v>
      </c>
      <c r="G15" s="394">
        <f>'[5]Лист1'!AB9</f>
        <v>1205.52</v>
      </c>
      <c r="H15" s="392">
        <f>'[5]Лист1'!AC9</f>
        <v>2351.5637500000003</v>
      </c>
      <c r="I15" s="394">
        <f>'[5]Лист1'!AG9</f>
        <v>187.38</v>
      </c>
      <c r="J15" s="390">
        <f>'[5]Лист1'!AI9+'[5]Лист1'!AJ9</f>
        <v>301.727947</v>
      </c>
      <c r="K15" s="390">
        <f>'[5]Лист1'!AH9+'[5]Лист1'!AK9+'[5]Лист1'!AL9+'[5]Лист1'!AM9+'[5]Лист1'!AN9+'[5]Лист1'!AO9+'[5]Лист1'!AP9+'[5]Лист1'!AQ9+'[5]Лист1'!AR9</f>
        <v>1036.33545944</v>
      </c>
      <c r="L15" s="391">
        <f>'[5]Лист1'!AS9+'[5]Лист1'!AT9+'[5]Лист1'!AU9+'[5]Лист1'!AZ9+'[5]Лист1'!BA9</f>
        <v>0</v>
      </c>
      <c r="M15" s="391">
        <f>'[5]Лист1'!AX9</f>
        <v>100.70592</v>
      </c>
      <c r="N15" s="392">
        <f>'[5]Лист1'!BB9</f>
        <v>1525.4434064399998</v>
      </c>
      <c r="O15" s="393">
        <f>'[5]Лист1'!BD9</f>
        <v>826.1203435600005</v>
      </c>
      <c r="P15" s="393">
        <f>'[5]Лист1'!BE9</f>
        <v>-197.11000000000013</v>
      </c>
      <c r="Q15" s="221"/>
      <c r="R15" s="221"/>
    </row>
    <row r="16" spans="1:18" ht="13.5" hidden="1" thickBot="1">
      <c r="A16" s="305" t="s">
        <v>46</v>
      </c>
      <c r="B16" s="104">
        <f>'[5]Лист1'!B10</f>
        <v>347</v>
      </c>
      <c r="C16" s="27">
        <f t="shared" si="0"/>
        <v>3001.55</v>
      </c>
      <c r="D16" s="105">
        <f>'[5]Лист1'!D10</f>
        <v>375.19375</v>
      </c>
      <c r="E16" s="390">
        <f>'[5]Лист1'!S10</f>
        <v>1402.63</v>
      </c>
      <c r="F16" s="392">
        <f>'[5]Лист1'!T10</f>
        <v>770.85</v>
      </c>
      <c r="G16" s="394">
        <f>'[5]Лист1'!AB10</f>
        <v>1141.3000000000002</v>
      </c>
      <c r="H16" s="392">
        <f>'[5]Лист1'!AC10</f>
        <v>2287.34375</v>
      </c>
      <c r="I16" s="394">
        <f>'[5]Лист1'!AG10</f>
        <v>187.38</v>
      </c>
      <c r="J16" s="390">
        <f>'[5]Лист1'!AI10+'[5]Лист1'!AJ10</f>
        <v>301.403506</v>
      </c>
      <c r="K16" s="390">
        <f>'[5]Лист1'!AH10+'[5]Лист1'!AK10+'[5]Лист1'!AL10+'[5]Лист1'!AM10+'[5]Лист1'!AN10+'[5]Лист1'!AO10+'[5]Лист1'!AP10+'[5]Лист1'!AQ10+'[5]Лист1'!AR10</f>
        <v>1037.8314805399998</v>
      </c>
      <c r="L16" s="391">
        <f>'[5]Лист1'!AS10+'[5]Лист1'!AT10+'[5]Лист1'!AU10+'[5]Лист1'!AZ10+'[5]Лист1'!BA10</f>
        <v>1569.4</v>
      </c>
      <c r="M16" s="391">
        <f>'[5]Лист1'!AX10</f>
        <v>80.68368</v>
      </c>
      <c r="N16" s="392">
        <f>'[5]Лист1'!BB10</f>
        <v>3096.0149865399994</v>
      </c>
      <c r="O16" s="393">
        <f>'[5]Лист1'!BD10</f>
        <v>-808.6712365399994</v>
      </c>
      <c r="P16" s="393">
        <f>'[5]Лист1'!BE10</f>
        <v>-261.3299999999999</v>
      </c>
      <c r="Q16" s="221"/>
      <c r="R16" s="221"/>
    </row>
    <row r="17" spans="1:18" ht="13.5" hidden="1" thickBot="1">
      <c r="A17" s="305" t="s">
        <v>47</v>
      </c>
      <c r="B17" s="104">
        <f>'[5]Лист1'!B11</f>
        <v>347</v>
      </c>
      <c r="C17" s="27">
        <f t="shared" si="0"/>
        <v>3001.55</v>
      </c>
      <c r="D17" s="105">
        <f>'[5]Лист1'!D11</f>
        <v>375.19375</v>
      </c>
      <c r="E17" s="390">
        <f>'[5]Лист1'!S11</f>
        <v>1402.63</v>
      </c>
      <c r="F17" s="392">
        <f>'[5]Лист1'!T11</f>
        <v>770.85</v>
      </c>
      <c r="G17" s="394">
        <f>'[5]Лист1'!AB11</f>
        <v>1864.7600000000002</v>
      </c>
      <c r="H17" s="392">
        <f>'[5]Лист1'!AC11</f>
        <v>3010.80375</v>
      </c>
      <c r="I17" s="394">
        <f>'[5]Лист1'!AG11</f>
        <v>187.38</v>
      </c>
      <c r="J17" s="390">
        <f>'[5]Лист1'!AI11+'[5]Лист1'!AJ11</f>
        <v>301.9373675</v>
      </c>
      <c r="K17" s="390">
        <f>'[5]Лист1'!AH11+'[5]Лист1'!AK11+'[5]Лист1'!AL11+'[5]Лист1'!AM11+'[5]Лист1'!AN11+'[5]Лист1'!AO11+'[5]Лист1'!AP11+'[5]Лист1'!AQ11+'[5]Лист1'!AR11</f>
        <v>1003.1883752000001</v>
      </c>
      <c r="L17" s="391">
        <f>'[5]Лист1'!AS11+'[5]Лист1'!AT11+'[5]Лист1'!AU11+'[5]Лист1'!AY11+'[5]Лист1'!AZ11</f>
        <v>0</v>
      </c>
      <c r="M17" s="391">
        <f>'[5]Лист1'!AX11</f>
        <v>75.92592</v>
      </c>
      <c r="N17" s="392">
        <f>'[5]Лист1'!BB11</f>
        <v>1492.5057427</v>
      </c>
      <c r="O17" s="393">
        <f>'[5]Лист1'!BD11</f>
        <v>1518.2980073</v>
      </c>
      <c r="P17" s="393">
        <f>'[5]Лист1'!BE11</f>
        <v>462.1300000000001</v>
      </c>
      <c r="Q17" s="221"/>
      <c r="R17" s="221"/>
    </row>
    <row r="18" spans="1:18" ht="13.5" hidden="1" thickBot="1">
      <c r="A18" s="305" t="s">
        <v>48</v>
      </c>
      <c r="B18" s="104">
        <f>'[5]Лист1'!B12</f>
        <v>347</v>
      </c>
      <c r="C18" s="27">
        <f t="shared" si="0"/>
        <v>3001.55</v>
      </c>
      <c r="D18" s="105">
        <f>'[5]Лист1'!D12</f>
        <v>375.19375</v>
      </c>
      <c r="E18" s="390">
        <f>'[5]Лист1'!S12</f>
        <v>1401.9099999999999</v>
      </c>
      <c r="F18" s="392">
        <f>'[5]Лист1'!T12</f>
        <v>770.85</v>
      </c>
      <c r="G18" s="394">
        <f>'[5]Лист1'!AB12</f>
        <v>1402.6</v>
      </c>
      <c r="H18" s="392">
        <f>'[5]Лист1'!AC12</f>
        <v>2548.64375</v>
      </c>
      <c r="I18" s="394">
        <f>'[5]Лист1'!AG12</f>
        <v>187.38</v>
      </c>
      <c r="J18" s="390">
        <f>'[5]Лист1'!AI12+'[5]Лист1'!AJ12</f>
        <v>310.800613</v>
      </c>
      <c r="K18" s="390">
        <f>'[5]Лист1'!AH12+'[5]Лист1'!AK12+'[5]Лист1'!AL12+'[5]Лист1'!AM12+'[5]Лист1'!AN12+'[5]Лист1'!AO12+'[5]Лист1'!AP12+'[5]Лист1'!AQ12+'[5]Лист1'!AR12</f>
        <v>1017.49191592</v>
      </c>
      <c r="L18" s="391">
        <f>'[5]Лист1'!AS12+'[5]Лист1'!AT12+'[5]Лист1'!AU12+'[5]Лист1'!AZ12+'[5]Лист1'!BA12</f>
        <v>0</v>
      </c>
      <c r="M18" s="391">
        <f>'[5]Лист1'!AX12</f>
        <v>60.85968</v>
      </c>
      <c r="N18" s="392">
        <f>'[5]Лист1'!BB12</f>
        <v>1833.8477289200002</v>
      </c>
      <c r="O18" s="393">
        <f>'[5]Лист1'!BD12</f>
        <v>714.79602108</v>
      </c>
      <c r="P18" s="393">
        <f>'[5]Лист1'!BE12</f>
        <v>0.6900000000000546</v>
      </c>
      <c r="Q18" s="221"/>
      <c r="R18" s="221"/>
    </row>
    <row r="19" spans="1:18" ht="13.5" hidden="1" thickBot="1">
      <c r="A19" s="305" t="s">
        <v>49</v>
      </c>
      <c r="B19" s="104">
        <f>'[5]Лист1'!B13</f>
        <v>347</v>
      </c>
      <c r="C19" s="27">
        <f t="shared" si="0"/>
        <v>3001.55</v>
      </c>
      <c r="D19" s="105">
        <f>'[5]Лист1'!D13</f>
        <v>577.8599999999997</v>
      </c>
      <c r="E19" s="390">
        <f>'[5]Лист1'!S13</f>
        <v>1563.57</v>
      </c>
      <c r="F19" s="392">
        <f>'[5]Лист1'!T13</f>
        <v>860.12</v>
      </c>
      <c r="G19" s="394">
        <f>'[5]Лист1'!AB13</f>
        <v>1101.03</v>
      </c>
      <c r="H19" s="392">
        <f>'[5]Лист1'!AC13</f>
        <v>2539.0099999999993</v>
      </c>
      <c r="I19" s="394">
        <f>'[5]Лист1'!AG13</f>
        <v>208.2</v>
      </c>
      <c r="J19" s="390">
        <f>'[5]Лист1'!AI13+'[5]Лист1'!AJ13</f>
        <v>348.041</v>
      </c>
      <c r="K19" s="390">
        <f>'[5]Лист1'!AH13+'[5]Лист1'!AK13+'[5]Лист1'!AL13+'[5]Лист1'!AM13+'[5]Лист1'!AN13+'[5]Лист1'!AO13+'[5]Лист1'!AP13+'[5]Лист1'!AQ13+'[5]Лист1'!AR13</f>
        <v>1192.0144</v>
      </c>
      <c r="L19" s="391">
        <f>'[5]Лист1'!AS13+'[5]Лист1'!AT13+'[5]Лист1'!AU13+'[5]Лист1'!AZ13+'[5]Лист1'!BA13</f>
        <v>0</v>
      </c>
      <c r="M19" s="391">
        <f>'[5]Лист1'!AX13</f>
        <v>52.137119999999996</v>
      </c>
      <c r="N19" s="392">
        <f>'[5]Лист1'!BB13</f>
        <v>1800.3925199999999</v>
      </c>
      <c r="O19" s="393">
        <f>'[5]Лист1'!BD13</f>
        <v>738.6174799999994</v>
      </c>
      <c r="P19" s="393">
        <f>'[5]Лист1'!BE13</f>
        <v>-462.53999999999996</v>
      </c>
      <c r="Q19" s="221"/>
      <c r="R19" s="221"/>
    </row>
    <row r="20" spans="1:18" ht="13.5" hidden="1" thickBot="1">
      <c r="A20" s="305" t="s">
        <v>50</v>
      </c>
      <c r="B20" s="104">
        <f>'[5]Лист1'!B14</f>
        <v>347</v>
      </c>
      <c r="C20" s="27">
        <f t="shared" si="0"/>
        <v>3001.55</v>
      </c>
      <c r="D20" s="105">
        <f>'[5]Лист1'!D14</f>
        <v>577.73</v>
      </c>
      <c r="E20" s="390">
        <f>'[5]Лист1'!S14</f>
        <v>1563.7</v>
      </c>
      <c r="F20" s="392">
        <f>'[5]Лист1'!T14</f>
        <v>860.12</v>
      </c>
      <c r="G20" s="394">
        <f>'[5]Лист1'!AB14</f>
        <v>1864.8400000000001</v>
      </c>
      <c r="H20" s="392">
        <f>'[5]Лист1'!AC14</f>
        <v>3302.69</v>
      </c>
      <c r="I20" s="394">
        <f>'[5]Лист1'!AG14</f>
        <v>208.2</v>
      </c>
      <c r="J20" s="390">
        <f>'[5]Лист1'!AI14+'[5]Лист1'!AJ14</f>
        <v>348.041</v>
      </c>
      <c r="K20" s="390">
        <f>'[5]Лист1'!AH14+'[5]Лист1'!AK14+'[5]Лист1'!AL14+'[5]Лист1'!AM14+'[5]Лист1'!AN14+'[5]Лист1'!AO14+'[5]Лист1'!AP14+'[5]Лист1'!AQ14+'[5]Лист1'!AR14</f>
        <v>1192.04563</v>
      </c>
      <c r="L20" s="391">
        <f>'[5]Лист1'!AS14+'[5]Лист1'!AT14+'[5]Лист1'!AU14+'[5]Лист1'!AZ14+'[5]Лист1'!BA14</f>
        <v>0</v>
      </c>
      <c r="M20" s="391">
        <f>'[5]Лист1'!AX14</f>
        <v>46.189919999999994</v>
      </c>
      <c r="N20" s="392">
        <f>'[5]Лист1'!BB14</f>
        <v>1794.47655</v>
      </c>
      <c r="O20" s="393">
        <f>'[5]Лист1'!BD14</f>
        <v>1508.21345</v>
      </c>
      <c r="P20" s="393">
        <f>'[5]Лист1'!BE14</f>
        <v>301.1400000000001</v>
      </c>
      <c r="Q20" s="221"/>
      <c r="R20" s="221"/>
    </row>
    <row r="21" spans="1:18" ht="13.5" hidden="1" thickBot="1">
      <c r="A21" s="305" t="s">
        <v>51</v>
      </c>
      <c r="B21" s="104">
        <f>'[5]Лист1'!B15</f>
        <v>347</v>
      </c>
      <c r="C21" s="27">
        <f t="shared" si="0"/>
        <v>3001.55</v>
      </c>
      <c r="D21" s="105">
        <f>'[5]Лист1'!D15</f>
        <v>595.9700000000003</v>
      </c>
      <c r="E21" s="390">
        <f>'[5]Лист1'!S15</f>
        <v>1553.6399999999999</v>
      </c>
      <c r="F21" s="392">
        <f>'[5]Лист1'!T15</f>
        <v>851.9399999999999</v>
      </c>
      <c r="G21" s="394">
        <f>'[5]Лист1'!AB15</f>
        <v>1230.87</v>
      </c>
      <c r="H21" s="392">
        <f>'[5]Лист1'!AC15</f>
        <v>2678.78</v>
      </c>
      <c r="I21" s="394">
        <f>'[5]Лист1'!AG15</f>
        <v>208.2</v>
      </c>
      <c r="J21" s="390">
        <f>'[5]Лист1'!AI15+'[5]Лист1'!AJ15</f>
        <v>343.0988178</v>
      </c>
      <c r="K21" s="390">
        <f>'[5]Лист1'!AH15+'[5]Лист1'!AK15+'[5]Лист1'!AL15+'[5]Лист1'!AM15+'[5]Лист1'!AN15+'[5]Лист1'!AO15+'[5]Лист1'!AP15+'[5]Лист1'!AQ15+'[5]Лист1'!AR15</f>
        <v>1180.18489934</v>
      </c>
      <c r="L21" s="391">
        <f>'[5]Лист1'!AS15+'[5]Лист1'!AT15+'[5]Лист1'!AU15+'[5]Лист1'!AZ15+'[5]Лист1'!BA15</f>
        <v>0</v>
      </c>
      <c r="M21" s="391">
        <f>'[5]Лист1'!AX15</f>
        <v>49.16352</v>
      </c>
      <c r="N21" s="392">
        <f>'[5]Лист1'!BB15</f>
        <v>1780.64723714</v>
      </c>
      <c r="O21" s="393">
        <f>'[5]Лист1'!BD15</f>
        <v>898.1327628600002</v>
      </c>
      <c r="P21" s="393">
        <f>'[5]Лист1'!BE15</f>
        <v>-322.77</v>
      </c>
      <c r="Q21" s="221"/>
      <c r="R21" s="221"/>
    </row>
    <row r="22" spans="1:18" ht="13.5" hidden="1" thickBot="1">
      <c r="A22" s="305" t="s">
        <v>52</v>
      </c>
      <c r="B22" s="104">
        <f>'[5]Лист1'!B16</f>
        <v>347</v>
      </c>
      <c r="C22" s="27">
        <f t="shared" si="0"/>
        <v>3001.55</v>
      </c>
      <c r="D22" s="105">
        <f>'[5]Лист1'!D16</f>
        <v>577.73</v>
      </c>
      <c r="E22" s="390">
        <f>'[5]Лист1'!S16</f>
        <v>1563.7</v>
      </c>
      <c r="F22" s="392">
        <f>'[5]Лист1'!T16</f>
        <v>860.12</v>
      </c>
      <c r="G22" s="394">
        <f>'[5]Лист1'!AB16</f>
        <v>1843.1499999999999</v>
      </c>
      <c r="H22" s="392">
        <f>'[5]Лист1'!AC16</f>
        <v>3281</v>
      </c>
      <c r="I22" s="394">
        <f>'[5]Лист1'!AG16</f>
        <v>208.2</v>
      </c>
      <c r="J22" s="390">
        <f>'[5]Лист1'!AI16+'[5]Лист1'!AJ16</f>
        <v>342.9073952499999</v>
      </c>
      <c r="K22" s="390">
        <f>'[5]Лист1'!AH16+'[5]Лист1'!AK16+'[5]Лист1'!AL16+'[5]Лист1'!AM16+'[5]Лист1'!AN16+'[5]Лист1'!AO16+'[5]Лист1'!AP16+'[5]Лист1'!AQ16+'[5]Лист1'!AR16</f>
        <v>1179.93693314</v>
      </c>
      <c r="L22" s="391">
        <f>'[5]Лист1'!AS16+'[5]Лист1'!AT16+'[5]Лист1'!AU16+'[5]Лист1'!AZ16+'[5]Лист1'!BA16</f>
        <v>0</v>
      </c>
      <c r="M22" s="391">
        <f>'[5]Лист1'!AX16</f>
        <v>58.08431999999999</v>
      </c>
      <c r="N22" s="392">
        <f>'[5]Лист1'!BB16</f>
        <v>1789.1286483900003</v>
      </c>
      <c r="O22" s="393">
        <f>'[5]Лист1'!BD16</f>
        <v>1491.8713516099997</v>
      </c>
      <c r="P22" s="393">
        <f>'[5]Лист1'!BE16</f>
        <v>279.4499999999998</v>
      </c>
      <c r="Q22" s="221"/>
      <c r="R22" s="221"/>
    </row>
    <row r="23" spans="1:18" ht="13.5" hidden="1" thickBot="1">
      <c r="A23" s="305" t="s">
        <v>40</v>
      </c>
      <c r="B23" s="104">
        <f>'[5]Лист1'!B17</f>
        <v>347</v>
      </c>
      <c r="C23" s="27">
        <f t="shared" si="0"/>
        <v>3001.55</v>
      </c>
      <c r="D23" s="105">
        <f>'[5]Лист1'!D17</f>
        <v>577.73</v>
      </c>
      <c r="E23" s="390">
        <f>'[5]Лист1'!S17</f>
        <v>1563.7</v>
      </c>
      <c r="F23" s="392">
        <f>'[5]Лист1'!T17</f>
        <v>860.12</v>
      </c>
      <c r="G23" s="394">
        <f>'[5]Лист1'!AB17</f>
        <v>1231.0300000000002</v>
      </c>
      <c r="H23" s="392">
        <f>'[5]Лист1'!AC17</f>
        <v>2668.88</v>
      </c>
      <c r="I23" s="394">
        <f>'[5]Лист1'!AG17</f>
        <v>208.2</v>
      </c>
      <c r="J23" s="390">
        <f>'[5]Лист1'!AI17+'[5]Лист1'!AJ17</f>
        <v>342.84822827999994</v>
      </c>
      <c r="K23" s="390">
        <f>'[5]Лист1'!AH17+'[5]Лист1'!AK17+'[5]Лист1'!AL17+'[5]Лист1'!AM17+'[5]Лист1'!AN17+'[5]Лист1'!AO17+'[5]Лист1'!AP17+'[5]Лист1'!AQ17+'[5]Лист1'!AR17</f>
        <v>1179.8602711239998</v>
      </c>
      <c r="L23" s="391">
        <f>'[5]Лист1'!AS17+'[5]Лист1'!AT17+'[5]Лист1'!AU17+'[5]Лист1'!AZ17+'[5]Лист1'!BA17</f>
        <v>0</v>
      </c>
      <c r="M23" s="391">
        <f>'[5]Лист1'!AX17</f>
        <v>69.18576</v>
      </c>
      <c r="N23" s="392">
        <f>'[5]Лист1'!BB17</f>
        <v>1800.0942594039993</v>
      </c>
      <c r="O23" s="393">
        <f>'[5]Лист1'!BD17</f>
        <v>868.7857405960008</v>
      </c>
      <c r="P23" s="393">
        <f>'[5]Лист1'!BE17</f>
        <v>-332.66999999999985</v>
      </c>
      <c r="Q23" s="221"/>
      <c r="R23" s="221"/>
    </row>
    <row r="24" spans="1:18" ht="13.5" hidden="1" thickBot="1">
      <c r="A24" s="305" t="s">
        <v>41</v>
      </c>
      <c r="B24" s="104">
        <f>'[5]Лист1'!B18</f>
        <v>347</v>
      </c>
      <c r="C24" s="27">
        <f t="shared" si="0"/>
        <v>3001.55</v>
      </c>
      <c r="D24" s="105">
        <f>'[5]Лист1'!D18</f>
        <v>577.73</v>
      </c>
      <c r="E24" s="390">
        <f>'[5]Лист1'!S18</f>
        <v>1563.7</v>
      </c>
      <c r="F24" s="392">
        <f>'[5]Лист1'!T18</f>
        <v>860.12</v>
      </c>
      <c r="G24" s="394">
        <f>'[5]Лист1'!AB18</f>
        <v>1939.5499999999997</v>
      </c>
      <c r="H24" s="392">
        <f>'[5]Лист1'!AC18</f>
        <v>3377.3999999999996</v>
      </c>
      <c r="I24" s="394">
        <f>'[5]Лист1'!AG18</f>
        <v>208.2</v>
      </c>
      <c r="J24" s="390">
        <f>'[5]Лист1'!AI18+'[5]Лист1'!AJ18</f>
        <v>346.81262</v>
      </c>
      <c r="K24" s="390">
        <f>'[5]Лист1'!AH18+'[5]Лист1'!AK18+'[5]Лист1'!AL18+'[5]Лист1'!AM18+'[5]Лист1'!AN18+'[5]Лист1'!AO18+'[5]Лист1'!AP18+'[5]Лист1'!AQ18+'[5]Лист1'!AR18</f>
        <v>1190.0018</v>
      </c>
      <c r="L24" s="391">
        <f>'[5]Лист1'!AS18+'[5]Лист1'!AT18+'[5]Лист1'!AU18+'[5]Лист1'!AZ18+'[5]Лист1'!BA18</f>
        <v>0</v>
      </c>
      <c r="M24" s="391">
        <f>'[5]Лист1'!AX18</f>
        <v>84.252</v>
      </c>
      <c r="N24" s="392">
        <f>'[5]Лист1'!BB18</f>
        <v>1829.2664200000002</v>
      </c>
      <c r="O24" s="393">
        <f>'[5]Лист1'!BD18</f>
        <v>1548.1335799999995</v>
      </c>
      <c r="P24" s="393">
        <f>'[5]Лист1'!BE18</f>
        <v>375.8499999999997</v>
      </c>
      <c r="Q24" s="221"/>
      <c r="R24" s="221"/>
    </row>
    <row r="25" spans="1:18" ht="13.5" hidden="1" thickBot="1">
      <c r="A25" s="395" t="s">
        <v>42</v>
      </c>
      <c r="B25" s="104">
        <f>'[5]Лист1'!B19</f>
        <v>347</v>
      </c>
      <c r="C25" s="396">
        <f t="shared" si="0"/>
        <v>3001.55</v>
      </c>
      <c r="D25" s="105">
        <f>'[5]Лист1'!D19</f>
        <v>577.73</v>
      </c>
      <c r="E25" s="390">
        <f>'[5]Лист1'!S19</f>
        <v>1563.7</v>
      </c>
      <c r="F25" s="392">
        <f>'[5]Лист1'!T19</f>
        <v>860.12</v>
      </c>
      <c r="G25" s="394">
        <f>'[5]Лист1'!AB19</f>
        <v>1230.9</v>
      </c>
      <c r="H25" s="392">
        <f>'[5]Лист1'!AC19</f>
        <v>2668.75</v>
      </c>
      <c r="I25" s="394">
        <f>'[5]Лист1'!AG19</f>
        <v>208.2</v>
      </c>
      <c r="J25" s="390">
        <f>'[5]Лист1'!AI19+'[5]Лист1'!AJ19</f>
        <v>348.041</v>
      </c>
      <c r="K25" s="390">
        <f>'[5]Лист1'!AH19+'[5]Лист1'!AK19+'[5]Лист1'!AL19+'[5]Лист1'!AM19+'[5]Лист1'!AN19+'[5]Лист1'!AO19+'[5]Лист1'!AP19+'[5]Лист1'!AQ19+'[5]Лист1'!AR19</f>
        <v>1191.3204</v>
      </c>
      <c r="L25" s="391">
        <f>'[5]Лист1'!AS19+'[5]Лист1'!AT19+'[5]Лист1'!AU19+'[5]Лист1'!AZ19+'[5]Лист1'!BA19</f>
        <v>0</v>
      </c>
      <c r="M25" s="391">
        <f>'[5]Лист1'!AX19</f>
        <v>93.17280000000001</v>
      </c>
      <c r="N25" s="392">
        <f>'[5]Лист1'!BB19</f>
        <v>1840.7342</v>
      </c>
      <c r="O25" s="393">
        <f>'[5]Лист1'!BD19</f>
        <v>828.0157999999999</v>
      </c>
      <c r="P25" s="393">
        <f>'[5]Лист1'!BE19</f>
        <v>-332.79999999999995</v>
      </c>
      <c r="Q25" s="221"/>
      <c r="R25" s="221"/>
    </row>
    <row r="26" spans="1:18" s="17" customFormat="1" ht="13.5" hidden="1" thickBot="1">
      <c r="A26" s="31" t="s">
        <v>5</v>
      </c>
      <c r="B26" s="32"/>
      <c r="C26" s="33">
        <f aca="true" t="shared" si="1" ref="C26:P26">SUM(C14:C25)</f>
        <v>33017.049999999996</v>
      </c>
      <c r="D26" s="34">
        <f t="shared" si="1"/>
        <v>5563.254999999999</v>
      </c>
      <c r="E26" s="33">
        <f t="shared" si="1"/>
        <v>16545.510000000002</v>
      </c>
      <c r="F26" s="35">
        <f t="shared" si="1"/>
        <v>9096.060000000001</v>
      </c>
      <c r="G26" s="34">
        <f t="shared" si="1"/>
        <v>16055.549999999997</v>
      </c>
      <c r="H26" s="35">
        <f t="shared" si="1"/>
        <v>30714.864999999998</v>
      </c>
      <c r="I26" s="34">
        <f t="shared" si="1"/>
        <v>2206.92</v>
      </c>
      <c r="J26" s="33">
        <f t="shared" si="1"/>
        <v>3635.6594948300003</v>
      </c>
      <c r="K26" s="33">
        <f t="shared" si="1"/>
        <v>12400.211564704</v>
      </c>
      <c r="L26" s="33">
        <f t="shared" si="1"/>
        <v>1569.4</v>
      </c>
      <c r="M26" s="33">
        <f t="shared" si="1"/>
        <v>770.36064</v>
      </c>
      <c r="N26" s="35">
        <f t="shared" si="1"/>
        <v>20582.551699533997</v>
      </c>
      <c r="O26" s="36">
        <f t="shared" si="1"/>
        <v>10132.313300466</v>
      </c>
      <c r="P26" s="36">
        <f t="shared" si="1"/>
        <v>-489.96000000000004</v>
      </c>
      <c r="Q26" s="37"/>
      <c r="R26" s="37"/>
    </row>
    <row r="27" spans="1:18" ht="13.5" thickBot="1">
      <c r="A27" s="185" t="s">
        <v>117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397"/>
      <c r="Q27" s="221"/>
      <c r="R27" s="221"/>
    </row>
    <row r="28" spans="1:18" s="17" customFormat="1" ht="13.5" thickBot="1">
      <c r="A28" s="43" t="s">
        <v>53</v>
      </c>
      <c r="B28" s="44"/>
      <c r="C28" s="398">
        <f>'2011 полн'!C8</f>
        <v>70144.58</v>
      </c>
      <c r="D28" s="398">
        <f>'2011 полн'!D8</f>
        <v>23496.687500000015</v>
      </c>
      <c r="E28" s="398">
        <f>'2011 полн'!U8</f>
        <v>80516.93000000001</v>
      </c>
      <c r="F28" s="398">
        <f>'2011 полн'!V8</f>
        <v>12652.319999999998</v>
      </c>
      <c r="G28" s="398">
        <f>'2011 полн'!AF8</f>
        <v>58483.100000000006</v>
      </c>
      <c r="H28" s="398">
        <f>'2011 полн'!AG8</f>
        <v>94632.10750000001</v>
      </c>
      <c r="I28" s="398">
        <f>'2011 полн'!AK8</f>
        <v>4821.2880000000005</v>
      </c>
      <c r="J28" s="398">
        <f>'2011 полн'!AL8</f>
        <v>1610.3849700000005</v>
      </c>
      <c r="K28" s="398">
        <f>'2011 полн'!AM8+'2011 полн'!AO8+'2011 полн'!AP8+'2011 полн'!AX8+'2011 полн'!AY8</f>
        <v>39692.4613134092</v>
      </c>
      <c r="L28" s="398">
        <f>'2011 полн'!AU8+'2011 полн'!AV8+'2011 полн'!AW8</f>
        <v>6381.4028</v>
      </c>
      <c r="M28" s="398">
        <v>0</v>
      </c>
      <c r="N28" s="398">
        <f>SUM(I28:L28)</f>
        <v>52505.5370834092</v>
      </c>
      <c r="O28" s="398">
        <f>'2011 полн'!BF8</f>
        <v>42126.57041659081</v>
      </c>
      <c r="P28" s="398">
        <f>'2011 полн'!BG8</f>
        <v>-22033.829999999994</v>
      </c>
      <c r="Q28" s="45"/>
      <c r="R28" s="37"/>
    </row>
    <row r="29" spans="1:18" ht="13.5" thickBot="1">
      <c r="A29" s="25" t="s">
        <v>114</v>
      </c>
      <c r="B29" s="399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400"/>
      <c r="O29" s="400"/>
      <c r="P29" s="400"/>
      <c r="Q29" s="221"/>
      <c r="R29" s="221"/>
    </row>
    <row r="30" spans="1:18" ht="12.75">
      <c r="A30" s="401" t="s">
        <v>44</v>
      </c>
      <c r="B30" s="402">
        <f>'2011 полн'!B10</f>
        <v>368</v>
      </c>
      <c r="C30" s="402">
        <f>'2011 полн'!C10</f>
        <v>2174.456064</v>
      </c>
      <c r="D30" s="387">
        <f>'2011 полн'!D10</f>
        <v>101.02179999999998</v>
      </c>
      <c r="E30" s="387">
        <f>'2011 полн'!U10</f>
        <v>2287.42</v>
      </c>
      <c r="F30" s="387">
        <f>'2011 полн'!V10</f>
        <v>0</v>
      </c>
      <c r="G30" s="387">
        <f>'2011 полн'!AF10</f>
        <v>1846.82</v>
      </c>
      <c r="H30" s="387">
        <f>'2011 полн'!AG10</f>
        <v>1947.8418</v>
      </c>
      <c r="I30" s="387">
        <f>'2011 полн'!AK10</f>
        <v>246.56</v>
      </c>
      <c r="J30" s="387">
        <f>'2011 полн'!AL10</f>
        <v>73.60000000000001</v>
      </c>
      <c r="K30" s="387">
        <f>'2011 полн'!AX10</f>
        <v>0</v>
      </c>
      <c r="L30" s="387">
        <f>'2011 полн'!AU10+'2011 полн'!AV10+'2011 полн'!AW10</f>
        <v>0</v>
      </c>
      <c r="M30" s="403">
        <f>'[6]2011 полн'!BA10</f>
        <v>0</v>
      </c>
      <c r="N30" s="390">
        <f>'2011 полн'!BE10</f>
        <v>320.16</v>
      </c>
      <c r="O30" s="390">
        <f>'2011 полн'!BF10</f>
        <v>1627.6817999999998</v>
      </c>
      <c r="P30" s="390">
        <f>'2011 полн'!BG10</f>
        <v>-440.60000000000014</v>
      </c>
      <c r="Q30" s="221"/>
      <c r="R30" s="221"/>
    </row>
    <row r="31" spans="1:18" ht="12.75">
      <c r="A31" s="305" t="s">
        <v>45</v>
      </c>
      <c r="B31" s="402">
        <f>'2011 полн'!B11</f>
        <v>368</v>
      </c>
      <c r="C31" s="402">
        <f>'2011 полн'!C11</f>
        <v>2174.456064</v>
      </c>
      <c r="D31" s="387">
        <f>'2011 полн'!D11</f>
        <v>101.02179999999998</v>
      </c>
      <c r="E31" s="387">
        <f>'2011 полн'!U11</f>
        <v>2287.42</v>
      </c>
      <c r="F31" s="387">
        <f>'2011 полн'!V11</f>
        <v>0</v>
      </c>
      <c r="G31" s="387">
        <f>'2011 полн'!AF11</f>
        <v>1553.52</v>
      </c>
      <c r="H31" s="387">
        <f>'2011 полн'!AG11</f>
        <v>1654.5418</v>
      </c>
      <c r="I31" s="387">
        <f>'2011 полн'!AK11</f>
        <v>246.56</v>
      </c>
      <c r="J31" s="387">
        <f>'2011 полн'!AL11</f>
        <v>73.60000000000001</v>
      </c>
      <c r="K31" s="387">
        <f>'2011 полн'!AX11</f>
        <v>33.84</v>
      </c>
      <c r="L31" s="387">
        <f>'2011 полн'!AU11+'2011 полн'!AV11+'2011 полн'!AW11</f>
        <v>0</v>
      </c>
      <c r="M31" s="403">
        <f>'[6]2011 полн'!BA11</f>
        <v>0</v>
      </c>
      <c r="N31" s="390">
        <f>'2011 полн'!BE11</f>
        <v>354</v>
      </c>
      <c r="O31" s="390">
        <f>'2011 полн'!BF11</f>
        <v>1300.5418</v>
      </c>
      <c r="P31" s="390">
        <f>'2011 полн'!BG11</f>
        <v>-733.9000000000001</v>
      </c>
      <c r="Q31" s="221"/>
      <c r="R31" s="221"/>
    </row>
    <row r="32" spans="1:18" ht="12.75">
      <c r="A32" s="305" t="s">
        <v>46</v>
      </c>
      <c r="B32" s="402">
        <f>'2011 полн'!B12</f>
        <v>368</v>
      </c>
      <c r="C32" s="402">
        <f>'2011 полн'!C12</f>
        <v>2174.456064</v>
      </c>
      <c r="D32" s="387">
        <f>'2011 полн'!D12</f>
        <v>101.02179999999998</v>
      </c>
      <c r="E32" s="387">
        <f>'2011 полн'!U12</f>
        <v>2287.42</v>
      </c>
      <c r="F32" s="387">
        <f>'2011 полн'!V12</f>
        <v>0</v>
      </c>
      <c r="G32" s="387">
        <f>'2011 полн'!AF12</f>
        <v>1570.4299999999998</v>
      </c>
      <c r="H32" s="387">
        <f>'2011 полн'!AG12</f>
        <v>1671.4517999999998</v>
      </c>
      <c r="I32" s="387">
        <f>'2011 полн'!AK12</f>
        <v>246.56</v>
      </c>
      <c r="J32" s="387">
        <f>'2011 полн'!AL12</f>
        <v>73.60000000000001</v>
      </c>
      <c r="K32" s="387">
        <f>'2011 полн'!AX12</f>
        <v>0</v>
      </c>
      <c r="L32" s="387">
        <f>'2011 полн'!AU12+'2011 полн'!AV12+'2011 полн'!AW12</f>
        <v>0</v>
      </c>
      <c r="M32" s="403">
        <f>'[6]2011 полн'!BA12</f>
        <v>0</v>
      </c>
      <c r="N32" s="390">
        <f>'2011 полн'!BE12</f>
        <v>320.16</v>
      </c>
      <c r="O32" s="390">
        <f>'2011 полн'!BF12</f>
        <v>1351.2917999999997</v>
      </c>
      <c r="P32" s="390">
        <f>'2011 полн'!BG12</f>
        <v>-716.9900000000002</v>
      </c>
      <c r="Q32" s="221"/>
      <c r="R32" s="221"/>
    </row>
    <row r="33" spans="1:18" ht="12.75">
      <c r="A33" s="305" t="s">
        <v>47</v>
      </c>
      <c r="B33" s="402">
        <f>'2011 полн'!B13</f>
        <v>368</v>
      </c>
      <c r="C33" s="402">
        <f>'2011 полн'!C13</f>
        <v>2174.456064</v>
      </c>
      <c r="D33" s="387">
        <f>'2011 полн'!D13</f>
        <v>101.02179999999998</v>
      </c>
      <c r="E33" s="387">
        <f>'2011 полн'!U13</f>
        <v>2287.42</v>
      </c>
      <c r="F33" s="387">
        <f>'2011 полн'!V13</f>
        <v>0</v>
      </c>
      <c r="G33" s="387">
        <f>'2011 полн'!AF13</f>
        <v>1048.13</v>
      </c>
      <c r="H33" s="387">
        <f>'2011 полн'!AG13</f>
        <v>1149.1518</v>
      </c>
      <c r="I33" s="387">
        <f>'2011 полн'!AK13</f>
        <v>246.56</v>
      </c>
      <c r="J33" s="387">
        <f>'2011 полн'!AL13</f>
        <v>73.60000000000001</v>
      </c>
      <c r="K33" s="387">
        <f>'2011 полн'!AX13</f>
        <v>20</v>
      </c>
      <c r="L33" s="387">
        <f>'2011 полн'!AU13+'2011 полн'!AV13+'2011 полн'!AW13</f>
        <v>0</v>
      </c>
      <c r="M33" s="403">
        <f>'[6]2011 полн'!BA13</f>
        <v>0</v>
      </c>
      <c r="N33" s="390">
        <f>'2011 полн'!BE13</f>
        <v>340.16</v>
      </c>
      <c r="O33" s="390">
        <f>'2011 полн'!BF13</f>
        <v>808.9918</v>
      </c>
      <c r="P33" s="390">
        <f>'2011 полн'!BG13</f>
        <v>-1239.29</v>
      </c>
      <c r="Q33" s="221"/>
      <c r="R33" s="221"/>
    </row>
    <row r="34" spans="1:18" ht="12.75">
      <c r="A34" s="305" t="s">
        <v>48</v>
      </c>
      <c r="B34" s="402">
        <f>'2011 полн'!B14</f>
        <v>368</v>
      </c>
      <c r="C34" s="402">
        <f>'2011 полн'!C14</f>
        <v>2174.456064</v>
      </c>
      <c r="D34" s="387">
        <f>'2011 полн'!D14</f>
        <v>101.02179999999998</v>
      </c>
      <c r="E34" s="387">
        <f>'2011 полн'!U14</f>
        <v>2287.42</v>
      </c>
      <c r="F34" s="387">
        <f>'2011 полн'!V14</f>
        <v>0</v>
      </c>
      <c r="G34" s="387">
        <f>'2011 полн'!AF14</f>
        <v>1577.3700000000001</v>
      </c>
      <c r="H34" s="387">
        <f>'2011 полн'!AG14</f>
        <v>1678.3918</v>
      </c>
      <c r="I34" s="387">
        <f>'2011 полн'!AK14</f>
        <v>246.56</v>
      </c>
      <c r="J34" s="387">
        <f>'2011 полн'!AL14</f>
        <v>73.60000000000001</v>
      </c>
      <c r="K34" s="387">
        <f>'2011 полн'!AX14</f>
        <v>0</v>
      </c>
      <c r="L34" s="387">
        <f>'2011 полн'!AU14+'2011 полн'!AV14+'2011 полн'!AW14</f>
        <v>0</v>
      </c>
      <c r="M34" s="403">
        <f>'[6]2011 полн'!BA14</f>
        <v>0</v>
      </c>
      <c r="N34" s="390">
        <f>'2011 полн'!BE14</f>
        <v>320.16</v>
      </c>
      <c r="O34" s="390">
        <f>'2011 полн'!BF14</f>
        <v>1358.2318</v>
      </c>
      <c r="P34" s="390">
        <f>'2011 полн'!BG14</f>
        <v>-710.05</v>
      </c>
      <c r="Q34" s="221"/>
      <c r="R34" s="221"/>
    </row>
    <row r="35" spans="1:18" ht="12.75">
      <c r="A35" s="305" t="s">
        <v>49</v>
      </c>
      <c r="B35" s="402">
        <f>'2011 полн'!B15</f>
        <v>366.6</v>
      </c>
      <c r="C35" s="402">
        <f>'2011 полн'!C15</f>
        <v>2166.1836768000003</v>
      </c>
      <c r="D35" s="387">
        <f>'2011 полн'!D15</f>
        <v>101.02179999999998</v>
      </c>
      <c r="E35" s="387">
        <f>'2011 полн'!U15</f>
        <v>2277.94</v>
      </c>
      <c r="F35" s="387">
        <f>'2011 полн'!V15</f>
        <v>0</v>
      </c>
      <c r="G35" s="387">
        <f>'2011 полн'!AF15</f>
        <v>3833.6500000000005</v>
      </c>
      <c r="H35" s="387">
        <f>'2011 полн'!AG15</f>
        <v>3934.6718000000005</v>
      </c>
      <c r="I35" s="387">
        <f>'2011 полн'!AK15</f>
        <v>245.62200000000004</v>
      </c>
      <c r="J35" s="387">
        <f>'2011 полн'!AL15</f>
        <v>73.32000000000001</v>
      </c>
      <c r="K35" s="387">
        <f>'2011 полн'!AX15</f>
        <v>0</v>
      </c>
      <c r="L35" s="387">
        <f>'2011 полн'!AU15+'2011 полн'!AV15+'2011 полн'!AW15</f>
        <v>0</v>
      </c>
      <c r="M35" s="403">
        <f>'[6]2011 полн'!BA15</f>
        <v>0</v>
      </c>
      <c r="N35" s="390">
        <f>'2011 полн'!BE15</f>
        <v>318.94200000000006</v>
      </c>
      <c r="O35" s="390">
        <f>'2011 полн'!BF15</f>
        <v>3615.7298000000005</v>
      </c>
      <c r="P35" s="390">
        <f>'2011 полн'!BG15</f>
        <v>1555.7100000000005</v>
      </c>
      <c r="Q35" s="221"/>
      <c r="R35" s="221"/>
    </row>
    <row r="36" spans="1:16" ht="12.75">
      <c r="A36" s="305" t="s">
        <v>50</v>
      </c>
      <c r="B36" s="402">
        <f>'2011 полн'!B16</f>
        <v>366.6</v>
      </c>
      <c r="C36" s="402">
        <f>'2011 полн'!C16</f>
        <v>2166.1836768000003</v>
      </c>
      <c r="D36" s="387">
        <f>'2011 полн'!D16</f>
        <v>101.02179999999998</v>
      </c>
      <c r="E36" s="387">
        <f>'2011 полн'!U16</f>
        <v>2277.94</v>
      </c>
      <c r="F36" s="387">
        <f>'2011 полн'!V16</f>
        <v>0</v>
      </c>
      <c r="G36" s="387">
        <f>'2011 полн'!AF16</f>
        <v>1314.65</v>
      </c>
      <c r="H36" s="387">
        <f>'2011 полн'!AG16</f>
        <v>1415.6718</v>
      </c>
      <c r="I36" s="387">
        <f>'2011 полн'!AK16</f>
        <v>245.62200000000004</v>
      </c>
      <c r="J36" s="387">
        <f>'2011 полн'!AL16</f>
        <v>73.32000000000001</v>
      </c>
      <c r="K36" s="387">
        <f>'2011 полн'!AX16</f>
        <v>0</v>
      </c>
      <c r="L36" s="387">
        <f>'2011 полн'!AU16+'2011 полн'!AV16+'2011 полн'!AW16</f>
        <v>0</v>
      </c>
      <c r="M36" s="403">
        <f>'[6]2011 полн'!BA16</f>
        <v>-1111.19</v>
      </c>
      <c r="N36" s="390">
        <f>'2011 полн'!BE16</f>
        <v>318.94200000000006</v>
      </c>
      <c r="O36" s="390">
        <f>'2011 полн'!BF16</f>
        <v>1096.7298</v>
      </c>
      <c r="P36" s="390">
        <f>'2011 полн'!BG16</f>
        <v>-963.29</v>
      </c>
    </row>
    <row r="37" spans="1:16" ht="12.75">
      <c r="A37" s="305" t="s">
        <v>51</v>
      </c>
      <c r="B37" s="402">
        <f>'2011 полн'!B17</f>
        <v>366.6</v>
      </c>
      <c r="C37" s="402">
        <f>'2011 полн'!C17</f>
        <v>2166.1836768000003</v>
      </c>
      <c r="D37" s="387">
        <f>'2011 полн'!D17</f>
        <v>101.02179999999998</v>
      </c>
      <c r="E37" s="387">
        <f>'2011 полн'!U17</f>
        <v>2277.94</v>
      </c>
      <c r="F37" s="387">
        <f>'2011 полн'!V17</f>
        <v>0</v>
      </c>
      <c r="G37" s="387">
        <f>'2011 полн'!AF17</f>
        <v>788.3000000000001</v>
      </c>
      <c r="H37" s="387">
        <f>'2011 полн'!AG17</f>
        <v>889.3218</v>
      </c>
      <c r="I37" s="387">
        <f>'2011 полн'!AK17</f>
        <v>245.62200000000004</v>
      </c>
      <c r="J37" s="387">
        <f>'2011 полн'!AL17</f>
        <v>73.32000000000001</v>
      </c>
      <c r="K37" s="387">
        <f>'2011 полн'!AX17</f>
        <v>0</v>
      </c>
      <c r="L37" s="387">
        <f>'2011 полн'!AU17+'2011 полн'!AV17+'2011 полн'!AW17</f>
        <v>0</v>
      </c>
      <c r="M37" s="403">
        <f>'[6]2011 полн'!BA17</f>
        <v>0</v>
      </c>
      <c r="N37" s="390">
        <f>'2011 полн'!BE17</f>
        <v>318.94200000000006</v>
      </c>
      <c r="O37" s="390">
        <f>'2011 полн'!BF17</f>
        <v>570.3797999999999</v>
      </c>
      <c r="P37" s="390">
        <f>'2011 полн'!BG17</f>
        <v>-1489.6399999999999</v>
      </c>
    </row>
    <row r="38" spans="1:16" ht="12.75">
      <c r="A38" s="305" t="s">
        <v>52</v>
      </c>
      <c r="B38" s="402">
        <f>'2011 полн'!B18</f>
        <v>366.6</v>
      </c>
      <c r="C38" s="402">
        <f>'2011 полн'!C18</f>
        <v>2166.1836768000003</v>
      </c>
      <c r="D38" s="387">
        <f>'2011 полн'!D18</f>
        <v>101.02179999999998</v>
      </c>
      <c r="E38" s="387">
        <f>'2011 полн'!U18</f>
        <v>2277.94</v>
      </c>
      <c r="F38" s="387">
        <f>'2011 полн'!V18</f>
        <v>0</v>
      </c>
      <c r="G38" s="387">
        <f>'2011 полн'!AF18</f>
        <v>1566.2</v>
      </c>
      <c r="H38" s="387">
        <f>'2011 полн'!AG18</f>
        <v>1667.2218</v>
      </c>
      <c r="I38" s="387">
        <f>'2011 полн'!AK18</f>
        <v>245.62200000000004</v>
      </c>
      <c r="J38" s="387">
        <f>'2011 полн'!AL18</f>
        <v>73.32000000000001</v>
      </c>
      <c r="K38" s="387">
        <f>'2011 полн'!AX18</f>
        <v>0</v>
      </c>
      <c r="L38" s="387">
        <f>'2011 полн'!AU18+'2011 полн'!AV18+'2011 полн'!AW18</f>
        <v>0</v>
      </c>
      <c r="M38" s="403">
        <f>'[6]2011 полн'!BA18</f>
        <v>0</v>
      </c>
      <c r="N38" s="390">
        <f>'2011 полн'!BE18</f>
        <v>318.94200000000006</v>
      </c>
      <c r="O38" s="390">
        <f>'2011 полн'!BF18</f>
        <v>1348.2798</v>
      </c>
      <c r="P38" s="390">
        <f>'2011 полн'!BG18</f>
        <v>-711.74</v>
      </c>
    </row>
    <row r="39" spans="1:16" ht="12.75">
      <c r="A39" s="401" t="s">
        <v>40</v>
      </c>
      <c r="B39" s="402">
        <f>'2011 полн'!B19</f>
        <v>366.6</v>
      </c>
      <c r="C39" s="402">
        <f>'2011 полн'!C19</f>
        <v>2166.1836768000003</v>
      </c>
      <c r="D39" s="387">
        <f>'2011 полн'!D19</f>
        <v>101.02179999999998</v>
      </c>
      <c r="E39" s="387">
        <f>'2011 полн'!U19</f>
        <v>2277.94</v>
      </c>
      <c r="F39" s="387">
        <f>'2011 полн'!V19</f>
        <v>0</v>
      </c>
      <c r="G39" s="387">
        <f>'2011 полн'!AF19</f>
        <v>525.61</v>
      </c>
      <c r="H39" s="387">
        <f>'2011 полн'!AG19</f>
        <v>626.6318</v>
      </c>
      <c r="I39" s="387">
        <f>'2011 полн'!AK19</f>
        <v>245.62200000000004</v>
      </c>
      <c r="J39" s="387">
        <f>'2011 полн'!AL19</f>
        <v>73.32000000000001</v>
      </c>
      <c r="K39" s="387">
        <f>'2011 полн'!AX19</f>
        <v>0</v>
      </c>
      <c r="L39" s="387">
        <f>'2011 полн'!AU19+'2011 полн'!AV19+'2011 полн'!AW19</f>
        <v>0</v>
      </c>
      <c r="M39" s="403">
        <f>'[6]2011 полн'!BA19</f>
        <v>0</v>
      </c>
      <c r="N39" s="390">
        <f>'2011 полн'!BE19</f>
        <v>318.94200000000006</v>
      </c>
      <c r="O39" s="390">
        <f>'2011 полн'!BF19</f>
        <v>307.68979999999993</v>
      </c>
      <c r="P39" s="390">
        <f>'2011 полн'!BG19</f>
        <v>-1752.33</v>
      </c>
    </row>
    <row r="40" spans="1:16" ht="12.75">
      <c r="A40" s="305" t="s">
        <v>41</v>
      </c>
      <c r="B40" s="402">
        <f>'2011 полн'!B20</f>
        <v>366.6</v>
      </c>
      <c r="C40" s="402">
        <f>'2011 полн'!C20</f>
        <v>2166.1836768000003</v>
      </c>
      <c r="D40" s="387">
        <f>'2011 полн'!D20</f>
        <v>101.02179999999998</v>
      </c>
      <c r="E40" s="387">
        <f>'2011 полн'!U20</f>
        <v>2277.94</v>
      </c>
      <c r="F40" s="387">
        <f>'2011 полн'!V20</f>
        <v>0</v>
      </c>
      <c r="G40" s="387">
        <f>'2011 полн'!AF20</f>
        <v>2135.69</v>
      </c>
      <c r="H40" s="387">
        <f>'2011 полн'!AG20</f>
        <v>2236.7118</v>
      </c>
      <c r="I40" s="387">
        <f>'2011 полн'!AK20</f>
        <v>245.62200000000004</v>
      </c>
      <c r="J40" s="387">
        <f>'2011 полн'!AL20</f>
        <v>73.32000000000001</v>
      </c>
      <c r="K40" s="387">
        <f>'2011 полн'!AX20</f>
        <v>0</v>
      </c>
      <c r="L40" s="387">
        <f>'2011 полн'!AU20+'2011 полн'!AV20+'2011 полн'!AW20</f>
        <v>0</v>
      </c>
      <c r="M40" s="403">
        <f>'[6]2011 полн'!BA20</f>
        <v>0</v>
      </c>
      <c r="N40" s="390">
        <f>'2011 полн'!BE20</f>
        <v>318.94200000000006</v>
      </c>
      <c r="O40" s="390">
        <f>'2011 полн'!BF20</f>
        <v>1917.7698</v>
      </c>
      <c r="P40" s="390">
        <f>'2011 полн'!BG20</f>
        <v>-142.25</v>
      </c>
    </row>
    <row r="41" spans="1:16" ht="13.5" thickBot="1">
      <c r="A41" s="305" t="s">
        <v>42</v>
      </c>
      <c r="B41" s="402">
        <f>'2011 полн'!B21</f>
        <v>366.6</v>
      </c>
      <c r="C41" s="402">
        <f>'2011 полн'!C21</f>
        <v>366.6</v>
      </c>
      <c r="D41" s="387">
        <f>'2011 полн'!D21</f>
        <v>101.02179999999998</v>
      </c>
      <c r="E41" s="387">
        <f>'2011 полн'!U21</f>
        <v>366.6</v>
      </c>
      <c r="F41" s="387">
        <f>'2011 полн'!V21</f>
        <v>0</v>
      </c>
      <c r="G41" s="387">
        <f>'2011 полн'!AF21</f>
        <v>4010.45</v>
      </c>
      <c r="H41" s="387">
        <f>'2011 полн'!AG21</f>
        <v>4111.471799999999</v>
      </c>
      <c r="I41" s="387">
        <f>'2011 полн'!AK21</f>
        <v>245.62200000000004</v>
      </c>
      <c r="J41" s="387">
        <f>'2011 полн'!AL21</f>
        <v>73.32000000000001</v>
      </c>
      <c r="K41" s="387">
        <f>'2011 полн'!AX21</f>
        <v>4308</v>
      </c>
      <c r="L41" s="387">
        <f>'2011 полн'!AU21+'2011 полн'!AV21+'2011 полн'!AW21</f>
        <v>0</v>
      </c>
      <c r="M41" s="403">
        <f>'[6]2011 полн'!BA21</f>
        <v>0</v>
      </c>
      <c r="N41" s="390">
        <f>'2011 полн'!BE21</f>
        <v>4626.942</v>
      </c>
      <c r="O41" s="390">
        <f>'2011 полн'!BF21</f>
        <v>-515.4702000000007</v>
      </c>
      <c r="P41" s="390">
        <f>'2011 полн'!BG21</f>
        <v>3643.85</v>
      </c>
    </row>
    <row r="42" spans="1:18" s="17" customFormat="1" ht="13.5" thickBot="1">
      <c r="A42" s="31" t="s">
        <v>5</v>
      </c>
      <c r="B42" s="32"/>
      <c r="C42" s="404">
        <f aca="true" t="shared" si="2" ref="C42:O42">SUM(C30:C41)</f>
        <v>24235.982380799996</v>
      </c>
      <c r="D42" s="404">
        <f t="shared" si="2"/>
        <v>1212.2615999999998</v>
      </c>
      <c r="E42" s="404">
        <f t="shared" si="2"/>
        <v>25471.339999999997</v>
      </c>
      <c r="F42" s="404">
        <f t="shared" si="2"/>
        <v>0</v>
      </c>
      <c r="G42" s="404">
        <f t="shared" si="2"/>
        <v>21770.820000000003</v>
      </c>
      <c r="H42" s="404">
        <f t="shared" si="2"/>
        <v>22983.0816</v>
      </c>
      <c r="I42" s="404">
        <f t="shared" si="2"/>
        <v>2952.1539999999995</v>
      </c>
      <c r="J42" s="404">
        <f t="shared" si="2"/>
        <v>881.2400000000004</v>
      </c>
      <c r="K42" s="404">
        <f t="shared" si="2"/>
        <v>4361.84</v>
      </c>
      <c r="L42" s="404">
        <f t="shared" si="2"/>
        <v>0</v>
      </c>
      <c r="M42" s="404">
        <f t="shared" si="2"/>
        <v>-1111.19</v>
      </c>
      <c r="N42" s="404">
        <f t="shared" si="2"/>
        <v>8195.234</v>
      </c>
      <c r="O42" s="404">
        <f t="shared" si="2"/>
        <v>14787.847600000001</v>
      </c>
      <c r="P42" s="404">
        <f>SUM(P30:P41)</f>
        <v>-3700.52</v>
      </c>
      <c r="Q42" s="37"/>
      <c r="R42" s="37"/>
    </row>
    <row r="43" spans="1:18" ht="13.5" thickBot="1">
      <c r="A43" s="185" t="s">
        <v>67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208"/>
      <c r="O43" s="208"/>
      <c r="P43" s="405"/>
      <c r="Q43" s="221"/>
      <c r="R43" s="221"/>
    </row>
    <row r="44" spans="1:18" s="17" customFormat="1" ht="13.5" thickBot="1">
      <c r="A44" s="43" t="s">
        <v>53</v>
      </c>
      <c r="B44" s="44"/>
      <c r="C44" s="398">
        <f aca="true" t="shared" si="3" ref="C44:P44">C42+C28</f>
        <v>94380.5623808</v>
      </c>
      <c r="D44" s="398">
        <f t="shared" si="3"/>
        <v>24708.949100000013</v>
      </c>
      <c r="E44" s="398">
        <f t="shared" si="3"/>
        <v>105988.27</v>
      </c>
      <c r="F44" s="398">
        <f t="shared" si="3"/>
        <v>12652.319999999998</v>
      </c>
      <c r="G44" s="398">
        <f t="shared" si="3"/>
        <v>80253.92000000001</v>
      </c>
      <c r="H44" s="398">
        <f t="shared" si="3"/>
        <v>117615.18910000002</v>
      </c>
      <c r="I44" s="398">
        <f t="shared" si="3"/>
        <v>7773.442</v>
      </c>
      <c r="J44" s="398">
        <f t="shared" si="3"/>
        <v>2491.6249700000008</v>
      </c>
      <c r="K44" s="398">
        <f t="shared" si="3"/>
        <v>44054.3013134092</v>
      </c>
      <c r="L44" s="398">
        <f t="shared" si="3"/>
        <v>6381.4028</v>
      </c>
      <c r="M44" s="398">
        <f t="shared" si="3"/>
        <v>-1111.19</v>
      </c>
      <c r="N44" s="398">
        <f t="shared" si="3"/>
        <v>60700.7710834092</v>
      </c>
      <c r="O44" s="398">
        <f>O42+O28</f>
        <v>56914.41801659081</v>
      </c>
      <c r="P44" s="398">
        <f t="shared" si="3"/>
        <v>-25734.349999999995</v>
      </c>
      <c r="Q44" s="45"/>
      <c r="R44" s="37"/>
    </row>
    <row r="46" spans="1:18" ht="12.75">
      <c r="A46" s="17" t="s">
        <v>83</v>
      </c>
      <c r="D46" s="131" t="s">
        <v>118</v>
      </c>
      <c r="Q46" s="221"/>
      <c r="R46" s="221"/>
    </row>
    <row r="47" spans="1:18" ht="12.75">
      <c r="A47" s="302" t="s">
        <v>85</v>
      </c>
      <c r="B47" s="302" t="s">
        <v>86</v>
      </c>
      <c r="C47" s="406" t="s">
        <v>87</v>
      </c>
      <c r="D47" s="407"/>
      <c r="Q47" s="221"/>
      <c r="R47" s="221"/>
    </row>
    <row r="48" spans="1:18" ht="12.75">
      <c r="A48" s="408">
        <v>32117.86</v>
      </c>
      <c r="B48" s="132">
        <v>12053</v>
      </c>
      <c r="C48" s="309">
        <f>A48-B48</f>
        <v>20064.86</v>
      </c>
      <c r="D48" s="409"/>
      <c r="Q48" s="221"/>
      <c r="R48" s="221"/>
    </row>
    <row r="49" spans="1:18" ht="12.75">
      <c r="A49" s="133"/>
      <c r="Q49" s="221"/>
      <c r="R49" s="221"/>
    </row>
    <row r="50" spans="1:18" ht="12.75">
      <c r="A50" s="222" t="s">
        <v>88</v>
      </c>
      <c r="G50" s="222" t="s">
        <v>89</v>
      </c>
      <c r="Q50" s="221"/>
      <c r="R50" s="221"/>
    </row>
    <row r="51" ht="12.75">
      <c r="A51" s="221"/>
    </row>
    <row r="52" ht="12.75">
      <c r="A52" s="221"/>
    </row>
    <row r="53" ht="12.75">
      <c r="A53" s="131" t="s">
        <v>119</v>
      </c>
    </row>
    <row r="54" ht="12.75">
      <c r="A54" s="222" t="s">
        <v>91</v>
      </c>
    </row>
  </sheetData>
  <sheetProtection/>
  <mergeCells count="26">
    <mergeCell ref="N10:N11"/>
    <mergeCell ref="A27:O27"/>
    <mergeCell ref="A43:O43"/>
    <mergeCell ref="C47:D47"/>
    <mergeCell ref="I8:N9"/>
    <mergeCell ref="O8:O11"/>
    <mergeCell ref="P8:P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O5"/>
    <mergeCell ref="A6:G6"/>
    <mergeCell ref="A7:D7"/>
    <mergeCell ref="E7:F7"/>
  </mergeCells>
  <printOptions/>
  <pageMargins left="0.25" right="0.17" top="0.29" bottom="0.47" header="0.18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2010-06-18T03:20:22Z</cp:lastPrinted>
  <dcterms:created xsi:type="dcterms:W3CDTF">2010-04-03T04:08:20Z</dcterms:created>
  <dcterms:modified xsi:type="dcterms:W3CDTF">2012-05-25T08:41:04Z</dcterms:modified>
  <cp:category/>
  <cp:version/>
  <cp:contentType/>
  <cp:contentStatus/>
</cp:coreProperties>
</file>