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<sst xmlns="http://schemas.openxmlformats.org/spreadsheetml/2006/main" count="171" uniqueCount="92">
  <si>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</si>
  <si>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</si>
  <si>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</si>
  <si>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</si>
  <si>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</si>
  <si>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</si>
  <si>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</si>
  <si>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</si>
  <si>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</si>
  <si>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</si>
  <si>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</si>
  <si>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</si>
  <si>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</si>
  <si>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</si>
  <si>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</si>
  <si>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</si>
  <si>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</si>
  <si>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</si>
  <si>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</si>
  <si>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</si>
  <si>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</si>
  <si>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</si>
  <si>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</si>
  <si>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</si>
  <si>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</si>
  <si>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</si>
  <si>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</si>
  <si>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</si>
  <si>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</si>
  <si>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</si>
  <si>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</si>
  <si>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</si>
  <si>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</si>
  <si>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</si>
  <si>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</si>
  <si>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</si>
  <si>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</si>
  <si>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</si>
  <si>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</si>
  <si>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</si>
  <si>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</si>
  <si>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</si>
  <si>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</si>
  <si>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</si>
  <si>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</si>
  <si>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</si>
  <si>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</si>
  <si>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</si>
  <si>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</si>
  <si>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</si>
  <si>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</si>
  <si>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</si>
  <si>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</si>
  <si>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</si>
  <si>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</si>
  <si>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</si>
  <si>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</si>
  <si>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</si>
  <si>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</si>
  <si>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</si>
  <si>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</si>
  <si>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</si>
  <si>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</si>
  <si>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</si>
  <si>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</si>
  <si>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</si>
  <si>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</si>
  <si>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Директор ООО "Таштагольская управляющая компания"</t>
  </si>
  <si>
    <t>_______________________________/ С.С. Малыгин</t>
  </si>
  <si>
    <t>тел. 3-48-80</t>
  </si>
  <si>
    <t xml:space="preserve">Собрано квартплаты </t>
  </si>
  <si>
    <t>содержанию и тек.рем.</t>
  </si>
  <si>
    <t>Выписка по лицевому счету по адресу г. Таштагол, ул. Поспелова, д. 13</t>
  </si>
  <si>
    <t>Лицевой счет по адресу г. Таштагол, ул. Поспелова, д. 13</t>
  </si>
  <si>
    <t>Исп. О.А. Хильчук</t>
  </si>
  <si>
    <t xml:space="preserve">Долг(-)/ переплата(+)  жителей </t>
  </si>
  <si>
    <t>2010 год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</si>
  <si>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</si>
  <si>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</si>
  <si>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</si>
  <si>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</si>
  <si>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</si>
  <si>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</si>
  <si>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</si>
  <si>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Расходы по нежилым</t>
  </si>
  <si>
    <t>ВСЕГО</t>
  </si>
  <si>
    <t>за период с октября 2008 г. по декабрь 2010 г.</t>
  </si>
  <si>
    <t>Капитальный ремонт</t>
  </si>
  <si>
    <t>*по состоянию на 01.01.2011 г.</t>
  </si>
  <si>
    <t>Собрано</t>
  </si>
  <si>
    <t>Списано</t>
  </si>
  <si>
    <t>Остаток на счете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</si>
</sst>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3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>
      <alignment horizontal="left" vertic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2" fillId="0" borderId="11" xfId="33" applyNumberFormat="1" applyFont="1" applyFill="1" applyBorder="1" applyAlignment="1">
      <alignment vertical="center" wrapText="1"/>
      <protection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34" borderId="11" xfId="0" applyFont="1" applyFill="1" applyBorder="1" applyAlignment="1">
      <alignment vertical="center" wrapText="1"/>
    </xf>
    <xf numFmtId="4" fontId="0" fillId="33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4" fontId="2" fillId="0" borderId="15" xfId="33" applyNumberFormat="1" applyFont="1" applyFill="1" applyBorder="1" applyAlignment="1">
      <alignment horizontal="right" vertical="center" wrapText="1"/>
      <protection/>
    </xf>
    <xf numFmtId="4" fontId="0" fillId="0" borderId="16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33" borderId="16" xfId="0" applyFont="1" applyFill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right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4" fontId="0" fillId="33" borderId="11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right" wrapText="1"/>
    </xf>
    <xf numFmtId="4" fontId="0" fillId="0" borderId="14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0" fontId="1" fillId="0" borderId="21" xfId="0" applyFont="1" applyFill="1" applyBorder="1" applyAlignment="1">
      <alignment horizontal="center" textRotation="90"/>
    </xf>
    <xf numFmtId="0" fontId="1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4" fontId="0" fillId="0" borderId="17" xfId="0" applyNumberFormat="1" applyFont="1" applyFill="1" applyBorder="1" applyAlignment="1">
      <alignment wrapText="1"/>
    </xf>
    <xf numFmtId="4" fontId="2" fillId="0" borderId="17" xfId="33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 vertical="center" wrapText="1"/>
    </xf>
    <xf numFmtId="4" fontId="0" fillId="0" borderId="18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right"/>
    </xf>
    <xf numFmtId="4" fontId="1" fillId="0" borderId="28" xfId="0" applyNumberFormat="1" applyFont="1" applyFill="1" applyBorder="1" applyAlignment="1">
      <alignment horizontal="right" wrapText="1"/>
    </xf>
    <xf numFmtId="4" fontId="0" fillId="0" borderId="19" xfId="0" applyNumberFormat="1" applyFont="1" applyFill="1" applyBorder="1" applyAlignment="1">
      <alignment horizontal="right"/>
    </xf>
    <xf numFmtId="4" fontId="1" fillId="0" borderId="29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1" fillId="0" borderId="31" xfId="0" applyNumberFormat="1" applyFont="1" applyFill="1" applyBorder="1" applyAlignment="1">
      <alignment horizontal="right" wrapText="1"/>
    </xf>
    <xf numFmtId="4" fontId="1" fillId="0" borderId="30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4" fontId="2" fillId="0" borderId="30" xfId="33" applyNumberFormat="1" applyFont="1" applyFill="1" applyBorder="1" applyAlignment="1">
      <alignment horizontal="right" vertical="center" wrapText="1"/>
      <protection/>
    </xf>
    <xf numFmtId="0" fontId="1" fillId="0" borderId="29" xfId="0" applyFont="1" applyFill="1" applyBorder="1" applyAlignment="1">
      <alignment horizontal="center" textRotation="90" wrapText="1"/>
    </xf>
    <xf numFmtId="4" fontId="0" fillId="0" borderId="11" xfId="0" applyNumberFormat="1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2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4" fontId="2" fillId="0" borderId="16" xfId="33" applyNumberFormat="1" applyFont="1" applyFill="1" applyBorder="1" applyAlignment="1">
      <alignment horizontal="center" vertical="center" wrapText="1"/>
      <protection/>
    </xf>
    <xf numFmtId="4" fontId="2" fillId="34" borderId="11" xfId="33" applyNumberFormat="1" applyFont="1" applyFill="1" applyBorder="1" applyAlignment="1">
      <alignment horizontal="center" vertical="center" wrapText="1"/>
      <protection/>
    </xf>
    <xf numFmtId="4" fontId="0" fillId="35" borderId="14" xfId="0" applyNumberFormat="1" applyFont="1" applyFill="1" applyBorder="1" applyAlignment="1">
      <alignment horizontal="center"/>
    </xf>
    <xf numFmtId="4" fontId="0" fillId="34" borderId="15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8" fillId="37" borderId="15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37" borderId="15" xfId="0" applyNumberFormat="1" applyFont="1" applyFill="1" applyBorder="1" applyAlignment="1">
      <alignment/>
    </xf>
    <xf numFmtId="2" fontId="1" fillId="0" borderId="32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2" fillId="0" borderId="33" xfId="33" applyNumberFormat="1" applyFont="1" applyFill="1" applyBorder="1" applyAlignment="1">
      <alignment horizontal="center" vertical="center" wrapText="1"/>
      <protection/>
    </xf>
    <xf numFmtId="4" fontId="2" fillId="34" borderId="13" xfId="33" applyNumberFormat="1" applyFont="1" applyFill="1" applyBorder="1" applyAlignment="1">
      <alignment horizontal="center" vertical="center" wrapText="1"/>
      <protection/>
    </xf>
    <xf numFmtId="4" fontId="0" fillId="34" borderId="35" xfId="0" applyNumberFormat="1" applyFont="1" applyFill="1" applyBorder="1" applyAlignment="1">
      <alignment/>
    </xf>
    <xf numFmtId="4" fontId="0" fillId="34" borderId="16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4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/>
    </xf>
    <xf numFmtId="2" fontId="0" fillId="0" borderId="14" xfId="0" applyNumberFormat="1" applyFont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right" vertical="center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20" xfId="0" applyNumberFormat="1" applyFont="1" applyFill="1" applyBorder="1" applyAlignment="1">
      <alignment horizontal="right" wrapText="1"/>
    </xf>
    <xf numFmtId="4" fontId="0" fillId="0" borderId="16" xfId="0" applyNumberFormat="1" applyFont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0" fillId="33" borderId="36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1" fillId="0" borderId="38" xfId="0" applyFont="1" applyFill="1" applyBorder="1" applyAlignment="1">
      <alignment horizontal="right" vertical="center" wrapText="1"/>
    </xf>
    <xf numFmtId="4" fontId="1" fillId="0" borderId="39" xfId="0" applyNumberFormat="1" applyFont="1" applyFill="1" applyBorder="1" applyAlignment="1">
      <alignment wrapText="1"/>
    </xf>
    <xf numFmtId="4" fontId="1" fillId="33" borderId="39" xfId="0" applyNumberFormat="1" applyFont="1" applyFill="1" applyBorder="1" applyAlignment="1">
      <alignment wrapText="1"/>
    </xf>
    <xf numFmtId="4" fontId="1" fillId="34" borderId="39" xfId="0" applyNumberFormat="1" applyFont="1" applyFill="1" applyBorder="1" applyAlignment="1">
      <alignment wrapText="1"/>
    </xf>
    <xf numFmtId="4" fontId="1" fillId="34" borderId="39" xfId="0" applyNumberFormat="1" applyFont="1" applyFill="1" applyBorder="1" applyAlignment="1">
      <alignment horizontal="right" wrapText="1"/>
    </xf>
    <xf numFmtId="4" fontId="1" fillId="0" borderId="39" xfId="0" applyNumberFormat="1" applyFont="1" applyFill="1" applyBorder="1" applyAlignment="1">
      <alignment horizontal="right" wrapText="1"/>
    </xf>
    <xf numFmtId="4" fontId="1" fillId="33" borderId="39" xfId="0" applyNumberFormat="1" applyFont="1" applyFill="1" applyBorder="1" applyAlignment="1">
      <alignment horizontal="right" wrapText="1"/>
    </xf>
    <xf numFmtId="4" fontId="1" fillId="0" borderId="40" xfId="0" applyNumberFormat="1" applyFont="1" applyFill="1" applyBorder="1" applyAlignment="1">
      <alignment horizontal="right" wrapText="1"/>
    </xf>
    <xf numFmtId="4" fontId="1" fillId="0" borderId="41" xfId="0" applyNumberFormat="1" applyFont="1" applyFill="1" applyBorder="1" applyAlignment="1">
      <alignment horizontal="right" wrapText="1"/>
    </xf>
    <xf numFmtId="0" fontId="1" fillId="0" borderId="42" xfId="0" applyFont="1" applyFill="1" applyBorder="1" applyAlignment="1">
      <alignment horizontal="right" vertical="center" wrapText="1"/>
    </xf>
    <xf numFmtId="4" fontId="1" fillId="0" borderId="43" xfId="0" applyNumberFormat="1" applyFont="1" applyFill="1" applyBorder="1" applyAlignment="1">
      <alignment horizontal="right" wrapText="1"/>
    </xf>
    <xf numFmtId="4" fontId="1" fillId="0" borderId="44" xfId="0" applyNumberFormat="1" applyFont="1" applyFill="1" applyBorder="1" applyAlignment="1">
      <alignment horizontal="right" wrapText="1"/>
    </xf>
    <xf numFmtId="4" fontId="1" fillId="0" borderId="45" xfId="0" applyNumberFormat="1" applyFont="1" applyFill="1" applyBorder="1" applyAlignment="1">
      <alignment horizontal="right" wrapText="1"/>
    </xf>
    <xf numFmtId="4" fontId="0" fillId="35" borderId="16" xfId="0" applyNumberFormat="1" applyFont="1" applyFill="1" applyBorder="1" applyAlignment="1">
      <alignment horizontal="center"/>
    </xf>
    <xf numFmtId="4" fontId="0" fillId="35" borderId="11" xfId="0" applyNumberFormat="1" applyFont="1" applyFill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4" fontId="1" fillId="0" borderId="25" xfId="0" applyNumberFormat="1" applyFont="1" applyFill="1" applyBorder="1" applyAlignment="1">
      <alignment horizontal="right" wrapText="1"/>
    </xf>
    <xf numFmtId="0" fontId="0" fillId="0" borderId="48" xfId="0" applyFont="1" applyFill="1" applyBorder="1" applyAlignment="1">
      <alignment/>
    </xf>
    <xf numFmtId="4" fontId="1" fillId="0" borderId="48" xfId="0" applyNumberFormat="1" applyFont="1" applyFill="1" applyBorder="1" applyAlignment="1">
      <alignment/>
    </xf>
    <xf numFmtId="4" fontId="1" fillId="0" borderId="49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 wrapText="1"/>
    </xf>
    <xf numFmtId="4" fontId="2" fillId="0" borderId="36" xfId="33" applyNumberFormat="1" applyFont="1" applyFill="1" applyBorder="1" applyAlignment="1">
      <alignment horizontal="right" vertical="center" wrapText="1"/>
      <protection/>
    </xf>
    <xf numFmtId="4" fontId="2" fillId="0" borderId="50" xfId="33" applyNumberFormat="1" applyFont="1" applyFill="1" applyBorder="1" applyAlignment="1">
      <alignment horizontal="right" vertical="center" wrapText="1"/>
      <protection/>
    </xf>
    <xf numFmtId="4" fontId="0" fillId="0" borderId="37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4" fontId="1" fillId="0" borderId="51" xfId="0" applyNumberFormat="1" applyFont="1" applyFill="1" applyBorder="1" applyAlignment="1">
      <alignment horizontal="right"/>
    </xf>
    <xf numFmtId="4" fontId="0" fillId="0" borderId="52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 vertical="center" wrapText="1"/>
    </xf>
    <xf numFmtId="4" fontId="1" fillId="0" borderId="50" xfId="0" applyNumberFormat="1" applyFont="1" applyFill="1" applyBorder="1" applyAlignment="1">
      <alignment horizontal="right"/>
    </xf>
    <xf numFmtId="4" fontId="0" fillId="0" borderId="51" xfId="0" applyNumberFormat="1" applyFont="1" applyFill="1" applyBorder="1" applyAlignment="1">
      <alignment horizontal="right"/>
    </xf>
    <xf numFmtId="0" fontId="1" fillId="0" borderId="42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/>
    </xf>
    <xf numFmtId="0" fontId="1" fillId="0" borderId="54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 vertical="center" wrapText="1"/>
    </xf>
    <xf numFmtId="2" fontId="1" fillId="33" borderId="55" xfId="0" applyNumberFormat="1" applyFont="1" applyFill="1" applyBorder="1" applyAlignment="1">
      <alignment horizontal="center" vertical="center" wrapText="1"/>
    </xf>
    <xf numFmtId="2" fontId="1" fillId="33" borderId="56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36" borderId="36" xfId="0" applyNumberFormat="1" applyFont="1" applyFill="1" applyBorder="1" applyAlignment="1">
      <alignment horizontal="center" vertical="center" wrapText="1"/>
    </xf>
    <xf numFmtId="2" fontId="1" fillId="36" borderId="57" xfId="0" applyNumberFormat="1" applyFont="1" applyFill="1" applyBorder="1" applyAlignment="1">
      <alignment horizontal="center" vertical="center" wrapText="1"/>
    </xf>
    <xf numFmtId="2" fontId="1" fillId="36" borderId="41" xfId="0" applyNumberFormat="1" applyFont="1" applyFill="1" applyBorder="1" applyAlignment="1">
      <alignment horizontal="center" vertical="center" wrapText="1"/>
    </xf>
    <xf numFmtId="2" fontId="1" fillId="36" borderId="32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21" xfId="0" applyFont="1" applyFill="1" applyBorder="1" applyAlignment="1">
      <alignment horizontal="center" textRotation="90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32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2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2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 textRotation="90" wrapText="1"/>
    </xf>
    <xf numFmtId="2" fontId="1" fillId="0" borderId="14" xfId="0" applyNumberFormat="1" applyFont="1" applyFill="1" applyBorder="1" applyAlignment="1">
      <alignment horizontal="center" textRotation="90" wrapText="1"/>
    </xf>
    <xf numFmtId="2" fontId="1" fillId="0" borderId="23" xfId="0" applyNumberFormat="1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3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/>
    </xf>
    <xf numFmtId="4" fontId="1" fillId="0" borderId="17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30" xfId="0" applyNumberFormat="1" applyFont="1" applyFill="1" applyBorder="1" applyAlignment="1">
      <alignment horizontal="center" vertical="center" textRotation="90" wrapText="1"/>
    </xf>
    <xf numFmtId="4" fontId="1" fillId="0" borderId="15" xfId="0" applyNumberFormat="1" applyFont="1" applyFill="1" applyBorder="1" applyAlignment="1">
      <alignment horizontal="center" vertical="center" textRotation="90" wrapText="1"/>
    </xf>
    <xf numFmtId="4" fontId="1" fillId="0" borderId="3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/>
    </xf>
    <xf numFmtId="2" fontId="1" fillId="0" borderId="14" xfId="0" applyNumberFormat="1" applyFont="1" applyFill="1" applyBorder="1" applyAlignment="1">
      <alignment horizontal="center" vertical="center" textRotation="90" wrapText="1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2" fontId="1" fillId="0" borderId="16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1" xfId="0" applyNumberForma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51;&#1048;&#1062;%20&#1057;&#1063;&#1045;&#1058;&#1040;%20&#1085;&#1077;&#1078;&#1080;&#1083;%20&#1087;&#1086;&#1084;%202009%20&#1075;&#1086;&#10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8">
          <cell r="I8">
            <v>906.3285</v>
          </cell>
        </row>
        <row r="37">
          <cell r="I37">
            <v>993.66561</v>
          </cell>
        </row>
        <row r="53">
          <cell r="I53">
            <v>1371.9440799999998</v>
          </cell>
        </row>
        <row r="103">
          <cell r="I103">
            <v>219.716</v>
          </cell>
        </row>
        <row r="110">
          <cell r="I110">
            <v>918.42288</v>
          </cell>
        </row>
      </sheetData>
      <sheetData sheetId="2">
        <row r="8">
          <cell r="M8">
            <v>431.475</v>
          </cell>
        </row>
        <row r="37">
          <cell r="M37">
            <v>473.0535</v>
          </cell>
        </row>
        <row r="54">
          <cell r="M54">
            <v>552.288</v>
          </cell>
        </row>
        <row r="104">
          <cell r="M104">
            <v>104.6</v>
          </cell>
        </row>
        <row r="111">
          <cell r="M111">
            <v>437.22799999999995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8">
          <cell r="I8">
            <v>906.3285</v>
          </cell>
        </row>
        <row r="39">
          <cell r="I39">
            <v>993.66561</v>
          </cell>
        </row>
        <row r="55">
          <cell r="I55">
            <v>1371.9440799999998</v>
          </cell>
        </row>
        <row r="105">
          <cell r="I105">
            <v>219.716</v>
          </cell>
        </row>
        <row r="111">
          <cell r="I111">
            <v>918.41288</v>
          </cell>
        </row>
      </sheetData>
      <sheetData sheetId="1">
        <row r="8">
          <cell r="I8">
            <v>906.3285</v>
          </cell>
          <cell r="O8">
            <v>431.98650000000004</v>
          </cell>
        </row>
        <row r="39">
          <cell r="I39">
            <v>993.66561</v>
          </cell>
          <cell r="O39">
            <v>473.61429000000004</v>
          </cell>
        </row>
        <row r="55">
          <cell r="I55">
            <v>1371.9440799999998</v>
          </cell>
          <cell r="O55">
            <v>552.94272</v>
          </cell>
        </row>
        <row r="105">
          <cell r="I105">
            <v>219.716</v>
          </cell>
          <cell r="O105">
            <v>104.72400000000002</v>
          </cell>
        </row>
        <row r="111">
          <cell r="I111">
            <v>918.42288</v>
          </cell>
          <cell r="O111">
            <v>437.7463199999999</v>
          </cell>
        </row>
      </sheetData>
      <sheetData sheetId="2">
        <row r="8">
          <cell r="I8">
            <v>906.3285</v>
          </cell>
          <cell r="O8">
            <v>431.98650000000004</v>
          </cell>
        </row>
        <row r="39">
          <cell r="I39">
            <v>993.66561</v>
          </cell>
          <cell r="O39">
            <v>473.61429000000004</v>
          </cell>
        </row>
        <row r="47">
          <cell r="I47">
            <v>492.17384</v>
          </cell>
          <cell r="O47">
            <v>234.58176</v>
          </cell>
        </row>
        <row r="56">
          <cell r="I56">
            <v>1371.9440799999998</v>
          </cell>
          <cell r="O56">
            <v>552.94272</v>
          </cell>
        </row>
        <row r="106">
          <cell r="I106">
            <v>219.716</v>
          </cell>
          <cell r="O106">
            <v>104.72400000000002</v>
          </cell>
        </row>
        <row r="113">
          <cell r="I113">
            <v>918.42288</v>
          </cell>
          <cell r="O113">
            <v>437.7463199999999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0">
        <row r="8">
          <cell r="O8">
            <v>385.31387150000006</v>
          </cell>
        </row>
      </sheetData>
      <sheetData sheetId="1">
        <row r="8">
          <cell r="O8">
            <v>385.904904</v>
          </cell>
        </row>
      </sheetData>
      <sheetData sheetId="2">
        <row r="8">
          <cell r="O8">
            <v>377.81073825</v>
          </cell>
        </row>
      </sheetData>
      <sheetData sheetId="3">
        <row r="8">
          <cell r="I8">
            <v>906.3285</v>
          </cell>
          <cell r="O8">
            <v>388.58981700000004</v>
          </cell>
        </row>
        <row r="37">
          <cell r="I37">
            <v>993.66561</v>
          </cell>
          <cell r="O37">
            <v>426.0357448200001</v>
          </cell>
        </row>
      </sheetData>
      <sheetData sheetId="4">
        <row r="8">
          <cell r="O8">
            <v>433.74676205000003</v>
          </cell>
        </row>
        <row r="37">
          <cell r="O37">
            <v>475.5863586870001</v>
          </cell>
        </row>
      </sheetData>
      <sheetData sheetId="5">
        <row r="8">
          <cell r="I8">
            <v>906.3285</v>
          </cell>
          <cell r="O8">
            <v>410.66003550000005</v>
          </cell>
        </row>
        <row r="37">
          <cell r="I37">
            <v>993.66561</v>
          </cell>
          <cell r="O37">
            <v>450.23272983000004</v>
          </cell>
        </row>
      </sheetData>
      <sheetData sheetId="6">
        <row r="8">
          <cell r="O8">
            <v>428.29401450000006</v>
          </cell>
        </row>
        <row r="38">
          <cell r="O38">
            <v>469.56598317000004</v>
          </cell>
        </row>
      </sheetData>
      <sheetData sheetId="7">
        <row r="8">
          <cell r="O8">
            <v>428.09941185</v>
          </cell>
        </row>
        <row r="38">
          <cell r="O38">
            <v>469.35262790100006</v>
          </cell>
        </row>
        <row r="53">
          <cell r="O53">
            <v>547.967247168</v>
          </cell>
        </row>
      </sheetData>
      <sheetData sheetId="8">
        <row r="8">
          <cell r="O8">
            <v>428.034664365</v>
          </cell>
        </row>
        <row r="38">
          <cell r="O38">
            <v>469.28164111290005</v>
          </cell>
        </row>
        <row r="53">
          <cell r="O53">
            <v>547.8843703872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0">
        <row r="8">
          <cell r="I8">
            <v>906.3285</v>
          </cell>
        </row>
      </sheetData>
      <sheetData sheetId="1">
        <row r="8">
          <cell r="I8">
            <v>906.3285</v>
          </cell>
        </row>
      </sheetData>
      <sheetData sheetId="6">
        <row r="8">
          <cell r="I8">
            <v>906.3285</v>
          </cell>
        </row>
        <row r="38">
          <cell r="I38">
            <v>993.66561</v>
          </cell>
        </row>
      </sheetData>
      <sheetData sheetId="7">
        <row r="8">
          <cell r="I8">
            <v>906.3285</v>
          </cell>
        </row>
        <row r="38">
          <cell r="I38">
            <v>993.66561</v>
          </cell>
        </row>
        <row r="53">
          <cell r="I53">
            <v>1371.9440799999998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8">
          <cell r="O8">
            <v>431.31245</v>
          </cell>
        </row>
        <row r="39">
          <cell r="O39">
            <v>472.969257</v>
          </cell>
        </row>
        <row r="55">
          <cell r="O55">
            <v>552.195576</v>
          </cell>
        </row>
        <row r="105">
          <cell r="O105">
            <v>104.58919999999999</v>
          </cell>
        </row>
        <row r="111">
          <cell r="O111">
            <v>437.14745600000003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8">
          <cell r="I8">
            <v>906.3285</v>
          </cell>
          <cell r="M8">
            <v>431.475</v>
          </cell>
        </row>
        <row r="37">
          <cell r="I37">
            <v>993.66561</v>
          </cell>
          <cell r="M37">
            <v>473.0535</v>
          </cell>
        </row>
        <row r="54">
          <cell r="I54">
            <v>1371.9440799999998</v>
          </cell>
          <cell r="M54">
            <v>552.288</v>
          </cell>
        </row>
        <row r="104">
          <cell r="I104">
            <v>219.716</v>
          </cell>
          <cell r="M104">
            <v>104.6</v>
          </cell>
        </row>
        <row r="111">
          <cell r="I111">
            <v>918.42288</v>
          </cell>
          <cell r="M111">
            <v>437.22799999999995</v>
          </cell>
        </row>
      </sheetData>
      <sheetData sheetId="5">
        <row r="8">
          <cell r="M8">
            <v>431.475</v>
          </cell>
        </row>
        <row r="37">
          <cell r="M37">
            <v>473.0535</v>
          </cell>
        </row>
        <row r="54">
          <cell r="M54">
            <v>552.288</v>
          </cell>
        </row>
        <row r="101">
          <cell r="M101">
            <v>104.6</v>
          </cell>
        </row>
        <row r="108">
          <cell r="M108">
            <v>437.22799999999995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6">
        <row r="7">
          <cell r="I7">
            <v>906.3285</v>
          </cell>
        </row>
        <row r="36">
          <cell r="I36">
            <v>993.66561</v>
          </cell>
        </row>
        <row r="54">
          <cell r="I54">
            <v>1371.9440799999998</v>
          </cell>
        </row>
        <row r="100">
          <cell r="I100">
            <v>219.716</v>
          </cell>
        </row>
        <row r="107">
          <cell r="I107">
            <v>918.42288</v>
          </cell>
        </row>
      </sheetData>
      <sheetData sheetId="8">
        <row r="7">
          <cell r="I7">
            <v>906.3285</v>
          </cell>
          <cell r="M7">
            <v>431.475</v>
          </cell>
        </row>
        <row r="36">
          <cell r="I36">
            <v>993.66561</v>
          </cell>
          <cell r="M36">
            <v>473.0535</v>
          </cell>
        </row>
        <row r="54">
          <cell r="I54">
            <v>1371.9440799999998</v>
          </cell>
          <cell r="M54">
            <v>552.288</v>
          </cell>
        </row>
        <row r="100">
          <cell r="I100">
            <v>219.716</v>
          </cell>
          <cell r="M100">
            <v>104.6</v>
          </cell>
        </row>
        <row r="101">
          <cell r="I101">
            <v>3607.084</v>
          </cell>
          <cell r="M101">
            <v>901.771</v>
          </cell>
        </row>
        <row r="108">
          <cell r="I108">
            <v>918.42288</v>
          </cell>
          <cell r="M108">
            <v>437.22799999999995</v>
          </cell>
        </row>
        <row r="127">
          <cell r="I127">
            <v>3383.0647200000003</v>
          </cell>
          <cell r="M127">
            <v>226.98199999999997</v>
          </cell>
        </row>
      </sheetData>
      <sheetData sheetId="9">
        <row r="7">
          <cell r="I7">
            <v>906.3285</v>
          </cell>
          <cell r="M7">
            <v>431.475</v>
          </cell>
        </row>
        <row r="36">
          <cell r="I36">
            <v>993.66561</v>
          </cell>
          <cell r="M36">
            <v>473.0535</v>
          </cell>
        </row>
        <row r="54">
          <cell r="I54">
            <v>1371.9440799999998</v>
          </cell>
          <cell r="M54">
            <v>552.288</v>
          </cell>
        </row>
        <row r="100">
          <cell r="I100">
            <v>219.716</v>
          </cell>
          <cell r="M100">
            <v>104.6</v>
          </cell>
        </row>
        <row r="101">
          <cell r="I101">
            <v>3607.084</v>
          </cell>
          <cell r="M101">
            <v>901.771</v>
          </cell>
        </row>
        <row r="108">
          <cell r="I108">
            <v>918.42288</v>
          </cell>
          <cell r="M108">
            <v>437.22799999999995</v>
          </cell>
        </row>
        <row r="127">
          <cell r="I127">
            <v>563.84412</v>
          </cell>
          <cell r="M127">
            <v>226.98199999999997</v>
          </cell>
        </row>
      </sheetData>
      <sheetData sheetId="10">
        <row r="7">
          <cell r="I7">
            <v>906.3285</v>
          </cell>
          <cell r="M7">
            <v>431.475</v>
          </cell>
        </row>
        <row r="36">
          <cell r="I36">
            <v>993.66561</v>
          </cell>
          <cell r="M36">
            <v>473.0535</v>
          </cell>
        </row>
        <row r="54">
          <cell r="I54">
            <v>1371.9440799999998</v>
          </cell>
          <cell r="M54">
            <v>552.288</v>
          </cell>
        </row>
        <row r="100">
          <cell r="I100">
            <v>219.716</v>
          </cell>
          <cell r="M100">
            <v>104.6</v>
          </cell>
        </row>
        <row r="107">
          <cell r="I107">
            <v>918.42288</v>
          </cell>
          <cell r="M107">
            <v>437.22799999999995</v>
          </cell>
        </row>
        <row r="126">
          <cell r="I126">
            <v>563.84412</v>
          </cell>
          <cell r="M126">
            <v>226.98199999999997</v>
          </cell>
        </row>
        <row r="133">
          <cell r="I133">
            <v>3607.084</v>
          </cell>
          <cell r="M133">
            <v>901.771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2"/>
  <sheetViews>
    <sheetView zoomScalePageLayoutView="0" workbookViewId="0" topLeftCell="AO13">
      <selection activeCell="BB29" sqref="BB29:BB40"/>
    </sheetView>
  </sheetViews>
  <sheetFormatPr defaultColWidth="9.00390625" defaultRowHeight="12.75"/>
  <cols>
    <col min="1" max="1" width="10.125" style="2" customWidth="1"/>
    <col min="2" max="2" width="9.375" style="2" bestFit="1" customWidth="1"/>
    <col min="3" max="3" width="12.125" style="2" customWidth="1"/>
    <col min="4" max="4" width="10.375" style="2" customWidth="1"/>
    <col min="5" max="5" width="8.875" style="2" customWidth="1"/>
    <col min="6" max="6" width="9.00390625" style="2" customWidth="1"/>
    <col min="7" max="7" width="9.87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625" style="2" customWidth="1"/>
    <col min="16" max="16" width="6.25390625" style="2" customWidth="1"/>
    <col min="17" max="17" width="10.375" style="2" customWidth="1"/>
    <col min="18" max="18" width="7.87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5" width="9.125" style="2" customWidth="1"/>
    <col min="26" max="26" width="8.125" style="2" customWidth="1"/>
    <col min="27" max="27" width="10.00390625" style="2" customWidth="1"/>
    <col min="28" max="28" width="10.125" style="2" bestFit="1" customWidth="1"/>
    <col min="29" max="29" width="11.375" style="2" customWidth="1"/>
    <col min="30" max="30" width="9.25390625" style="2" bestFit="1" customWidth="1"/>
    <col min="31" max="31" width="10.00390625" style="2" customWidth="1"/>
    <col min="32" max="32" width="11.375" style="2" customWidth="1"/>
    <col min="33" max="33" width="10.25390625" style="2" customWidth="1"/>
    <col min="34" max="36" width="9.25390625" style="2" bestFit="1" customWidth="1"/>
    <col min="37" max="37" width="10.25390625" style="2" customWidth="1"/>
    <col min="38" max="38" width="9.25390625" style="2" bestFit="1" customWidth="1"/>
    <col min="39" max="39" width="10.125" style="2" bestFit="1" customWidth="1"/>
    <col min="40" max="42" width="9.25390625" style="2" bestFit="1" customWidth="1"/>
    <col min="43" max="43" width="10.125" style="2" bestFit="1" customWidth="1"/>
    <col min="44" max="44" width="9.25390625" style="2" bestFit="1" customWidth="1"/>
    <col min="45" max="45" width="10.625" style="2" customWidth="1"/>
    <col min="46" max="46" width="10.375" style="2" customWidth="1"/>
    <col min="47" max="48" width="10.125" style="2" bestFit="1" customWidth="1"/>
    <col min="49" max="49" width="10.375" style="2" customWidth="1"/>
    <col min="50" max="50" width="10.75390625" style="2" customWidth="1"/>
    <col min="51" max="51" width="14.00390625" style="2" customWidth="1"/>
    <col min="52" max="53" width="9.125" style="2" customWidth="1"/>
    <col min="54" max="54" width="10.125" style="2" customWidth="1"/>
    <col min="55" max="55" width="9.125" style="2" customWidth="1"/>
    <col min="56" max="56" width="11.875" style="2" customWidth="1"/>
    <col min="57" max="57" width="12.25390625" style="2" customWidth="1"/>
    <col min="58" max="16384" width="9.125" style="2" customWidth="1"/>
  </cols>
  <sheetData>
    <row r="1" spans="1:18" ht="12.75">
      <c r="A1" s="203" t="s">
        <v>73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204" t="s">
        <v>0</v>
      </c>
      <c r="B3" s="207" t="s">
        <v>1</v>
      </c>
      <c r="C3" s="207" t="s">
        <v>2</v>
      </c>
      <c r="D3" s="207" t="s">
        <v>3</v>
      </c>
      <c r="E3" s="210" t="s">
        <v>4</v>
      </c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00" t="s">
        <v>5</v>
      </c>
      <c r="T3" s="200"/>
      <c r="U3" s="201" t="s">
        <v>6</v>
      </c>
      <c r="V3" s="201"/>
      <c r="W3" s="201"/>
      <c r="X3" s="201"/>
      <c r="Y3" s="201"/>
      <c r="Z3" s="201"/>
      <c r="AA3" s="201"/>
      <c r="AB3" s="201"/>
      <c r="AC3" s="196" t="s">
        <v>7</v>
      </c>
      <c r="AD3" s="196" t="s">
        <v>8</v>
      </c>
      <c r="AE3" s="196" t="s">
        <v>9</v>
      </c>
      <c r="AF3" s="92"/>
      <c r="AG3" s="176" t="s">
        <v>10</v>
      </c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95"/>
      <c r="BD3" s="178" t="s">
        <v>11</v>
      </c>
      <c r="BE3" s="181" t="s">
        <v>12</v>
      </c>
    </row>
    <row r="4" spans="1:57" ht="36" customHeight="1" thickBot="1">
      <c r="A4" s="205"/>
      <c r="B4" s="208"/>
      <c r="C4" s="208"/>
      <c r="D4" s="208"/>
      <c r="E4" s="199" t="s">
        <v>13</v>
      </c>
      <c r="F4" s="199"/>
      <c r="G4" s="199" t="s">
        <v>14</v>
      </c>
      <c r="H4" s="199"/>
      <c r="I4" s="199" t="s">
        <v>15</v>
      </c>
      <c r="J4" s="199"/>
      <c r="K4" s="199" t="s">
        <v>16</v>
      </c>
      <c r="L4" s="199"/>
      <c r="M4" s="199" t="s">
        <v>17</v>
      </c>
      <c r="N4" s="199"/>
      <c r="O4" s="199" t="s">
        <v>18</v>
      </c>
      <c r="P4" s="199"/>
      <c r="Q4" s="199" t="s">
        <v>19</v>
      </c>
      <c r="R4" s="199"/>
      <c r="S4" s="199"/>
      <c r="T4" s="199"/>
      <c r="U4" s="202"/>
      <c r="V4" s="202"/>
      <c r="W4" s="202"/>
      <c r="X4" s="202"/>
      <c r="Y4" s="202"/>
      <c r="Z4" s="202"/>
      <c r="AA4" s="202"/>
      <c r="AB4" s="202"/>
      <c r="AC4" s="197"/>
      <c r="AD4" s="197"/>
      <c r="AE4" s="197"/>
      <c r="AF4" s="93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90"/>
      <c r="BD4" s="179"/>
      <c r="BE4" s="182"/>
    </row>
    <row r="5" spans="1:57" ht="29.25" customHeight="1" thickBot="1">
      <c r="A5" s="205"/>
      <c r="B5" s="208"/>
      <c r="C5" s="208"/>
      <c r="D5" s="208"/>
      <c r="E5" s="192" t="s">
        <v>20</v>
      </c>
      <c r="F5" s="192" t="s">
        <v>21</v>
      </c>
      <c r="G5" s="192" t="s">
        <v>20</v>
      </c>
      <c r="H5" s="192" t="s">
        <v>21</v>
      </c>
      <c r="I5" s="192" t="s">
        <v>20</v>
      </c>
      <c r="J5" s="192" t="s">
        <v>21</v>
      </c>
      <c r="K5" s="192" t="s">
        <v>20</v>
      </c>
      <c r="L5" s="192" t="s">
        <v>21</v>
      </c>
      <c r="M5" s="192" t="s">
        <v>20</v>
      </c>
      <c r="N5" s="192" t="s">
        <v>21</v>
      </c>
      <c r="O5" s="192" t="s">
        <v>20</v>
      </c>
      <c r="P5" s="192" t="s">
        <v>21</v>
      </c>
      <c r="Q5" s="192" t="s">
        <v>20</v>
      </c>
      <c r="R5" s="192" t="s">
        <v>21</v>
      </c>
      <c r="S5" s="192" t="s">
        <v>20</v>
      </c>
      <c r="T5" s="192" t="s">
        <v>21</v>
      </c>
      <c r="U5" s="197" t="s">
        <v>22</v>
      </c>
      <c r="V5" s="197" t="s">
        <v>23</v>
      </c>
      <c r="W5" s="197" t="s">
        <v>24</v>
      </c>
      <c r="X5" s="197" t="s">
        <v>25</v>
      </c>
      <c r="Y5" s="197" t="s">
        <v>26</v>
      </c>
      <c r="Z5" s="197" t="s">
        <v>27</v>
      </c>
      <c r="AA5" s="197" t="s">
        <v>28</v>
      </c>
      <c r="AB5" s="197" t="s">
        <v>29</v>
      </c>
      <c r="AC5" s="197"/>
      <c r="AD5" s="197"/>
      <c r="AE5" s="197"/>
      <c r="AF5" s="93"/>
      <c r="AG5" s="177" t="s">
        <v>30</v>
      </c>
      <c r="AH5" s="177" t="s">
        <v>31</v>
      </c>
      <c r="AI5" s="177" t="s">
        <v>32</v>
      </c>
      <c r="AJ5" s="177" t="s">
        <v>33</v>
      </c>
      <c r="AK5" s="177" t="s">
        <v>34</v>
      </c>
      <c r="AL5" s="177" t="s">
        <v>33</v>
      </c>
      <c r="AM5" s="177" t="s">
        <v>35</v>
      </c>
      <c r="AN5" s="177" t="s">
        <v>33</v>
      </c>
      <c r="AO5" s="177" t="s">
        <v>36</v>
      </c>
      <c r="AP5" s="177" t="s">
        <v>33</v>
      </c>
      <c r="AQ5" s="188" t="s">
        <v>77</v>
      </c>
      <c r="AR5" s="190" t="s">
        <v>33</v>
      </c>
      <c r="AS5" s="174" t="s">
        <v>78</v>
      </c>
      <c r="AT5" s="194" t="s">
        <v>79</v>
      </c>
      <c r="AU5" s="194" t="s">
        <v>33</v>
      </c>
      <c r="AV5" s="184" t="s">
        <v>80</v>
      </c>
      <c r="AW5" s="185"/>
      <c r="AX5" s="186"/>
      <c r="AY5" s="177" t="s">
        <v>19</v>
      </c>
      <c r="AZ5" s="177" t="s">
        <v>38</v>
      </c>
      <c r="BA5" s="177" t="s">
        <v>33</v>
      </c>
      <c r="BB5" s="177" t="s">
        <v>39</v>
      </c>
      <c r="BC5" s="90"/>
      <c r="BD5" s="179"/>
      <c r="BE5" s="182"/>
    </row>
    <row r="6" spans="1:57" ht="54" customHeight="1" thickBot="1">
      <c r="A6" s="206"/>
      <c r="B6" s="209"/>
      <c r="C6" s="209"/>
      <c r="D6" s="209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94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9"/>
      <c r="AR6" s="191"/>
      <c r="AS6" s="175"/>
      <c r="AT6" s="195"/>
      <c r="AU6" s="195"/>
      <c r="AV6" s="109" t="s">
        <v>81</v>
      </c>
      <c r="AW6" s="109" t="s">
        <v>82</v>
      </c>
      <c r="AX6" s="109" t="s">
        <v>83</v>
      </c>
      <c r="AY6" s="187"/>
      <c r="AZ6" s="187"/>
      <c r="BA6" s="187"/>
      <c r="BB6" s="187"/>
      <c r="BC6" s="91" t="s">
        <v>84</v>
      </c>
      <c r="BD6" s="180"/>
      <c r="BE6" s="183"/>
    </row>
    <row r="7" spans="1:57" ht="12.75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8">
        <v>43</v>
      </c>
      <c r="AR7" s="9">
        <v>44</v>
      </c>
      <c r="AS7" s="8">
        <v>45</v>
      </c>
      <c r="AT7" s="9">
        <v>46</v>
      </c>
      <c r="AU7" s="8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110"/>
      <c r="BD7" s="111">
        <v>55</v>
      </c>
      <c r="BE7" s="7">
        <v>56</v>
      </c>
    </row>
    <row r="8" spans="1:57" ht="12.75">
      <c r="A8" s="5" t="s">
        <v>40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6"/>
      <c r="AT8" s="6"/>
      <c r="AU8" s="6"/>
      <c r="AV8" s="7"/>
      <c r="AW8" s="7"/>
      <c r="AX8" s="7"/>
      <c r="AY8" s="7"/>
      <c r="AZ8" s="7"/>
      <c r="BA8" s="7"/>
      <c r="BB8" s="7"/>
      <c r="BC8" s="7"/>
      <c r="BD8" s="112"/>
      <c r="BE8" s="29"/>
    </row>
    <row r="9" spans="1:57" ht="12.75">
      <c r="A9" s="11" t="s">
        <v>41</v>
      </c>
      <c r="B9" s="39">
        <v>4165.1</v>
      </c>
      <c r="C9" s="113">
        <f>B9*8.65</f>
        <v>36028.115000000005</v>
      </c>
      <c r="D9" s="114">
        <f>C9*0.24088</f>
        <v>8678.452341200002</v>
      </c>
      <c r="E9" s="48">
        <v>2939.8</v>
      </c>
      <c r="F9" s="48">
        <v>536.42</v>
      </c>
      <c r="G9" s="48">
        <v>3968.86</v>
      </c>
      <c r="H9" s="48">
        <v>724.16</v>
      </c>
      <c r="I9" s="48">
        <v>9554.43</v>
      </c>
      <c r="J9" s="48">
        <v>1743.39</v>
      </c>
      <c r="K9" s="48">
        <v>6614.63</v>
      </c>
      <c r="L9" s="48">
        <v>1206.97</v>
      </c>
      <c r="M9" s="48">
        <v>2351.84</v>
      </c>
      <c r="N9" s="48">
        <v>429.13</v>
      </c>
      <c r="O9" s="48">
        <v>0</v>
      </c>
      <c r="P9" s="48">
        <v>0</v>
      </c>
      <c r="Q9" s="48">
        <v>0</v>
      </c>
      <c r="R9" s="48">
        <v>0</v>
      </c>
      <c r="S9" s="40">
        <f>E9+G9+I9+K9+M9+O9+Q9</f>
        <v>25429.56</v>
      </c>
      <c r="T9" s="99">
        <f>P9+N9+L9+J9+H9+F9+R9</f>
        <v>4640.07</v>
      </c>
      <c r="U9" s="40">
        <v>54.54</v>
      </c>
      <c r="V9" s="40">
        <v>72.78</v>
      </c>
      <c r="W9" s="40">
        <v>149.51</v>
      </c>
      <c r="X9" s="40">
        <v>121.97</v>
      </c>
      <c r="Y9" s="40">
        <v>43.83</v>
      </c>
      <c r="Z9" s="45">
        <v>0</v>
      </c>
      <c r="AA9" s="45">
        <v>0</v>
      </c>
      <c r="AB9" s="45">
        <f>SUM(U9:AA9)</f>
        <v>442.62999999999994</v>
      </c>
      <c r="AC9" s="115">
        <f>D9+T9+AB9</f>
        <v>13761.1523412</v>
      </c>
      <c r="AD9" s="116">
        <f>P9+Z9</f>
        <v>0</v>
      </c>
      <c r="AE9" s="101">
        <f>R9+AA9</f>
        <v>0</v>
      </c>
      <c r="AF9" s="101"/>
      <c r="AG9" s="28">
        <f>0.6*B9</f>
        <v>2499.06</v>
      </c>
      <c r="AH9" s="28">
        <f>B9*0.2*1.05826</f>
        <v>881.5517452</v>
      </c>
      <c r="AI9" s="28">
        <f>0.8518*B9-0.01</f>
        <v>3547.82218</v>
      </c>
      <c r="AJ9" s="28">
        <f>AI9*0.18</f>
        <v>638.6079924</v>
      </c>
      <c r="AK9" s="28">
        <f>1.04*B9*0.9531</f>
        <v>4128.5470824</v>
      </c>
      <c r="AL9" s="28">
        <f>AK9*0.18</f>
        <v>743.138474832</v>
      </c>
      <c r="AM9" s="28">
        <f>(1.91)*B9*0.9531</f>
        <v>7582.2355071</v>
      </c>
      <c r="AN9" s="28">
        <f>AM9*0.18</f>
        <v>1364.802391278</v>
      </c>
      <c r="AO9" s="28"/>
      <c r="AP9" s="28">
        <f>AO9*0.18</f>
        <v>0</v>
      </c>
      <c r="AQ9" s="102"/>
      <c r="AR9" s="102"/>
      <c r="AS9" s="43">
        <v>18475.71</v>
      </c>
      <c r="AT9" s="43"/>
      <c r="AU9" s="43">
        <f>(AS9+AT9)*0.18</f>
        <v>3325.6277999999998</v>
      </c>
      <c r="AV9" s="103"/>
      <c r="AW9" s="104"/>
      <c r="AX9" s="28">
        <f>AW9*1.12*1.18</f>
        <v>0</v>
      </c>
      <c r="AY9" s="105"/>
      <c r="AZ9" s="107"/>
      <c r="BA9" s="107">
        <f>AZ9*0.18</f>
        <v>0</v>
      </c>
      <c r="BB9" s="107">
        <f>SUM(AG9:BA9)-AV9-AW9</f>
        <v>43187.10317321</v>
      </c>
      <c r="BC9" s="108"/>
      <c r="BD9" s="38">
        <f>AC9-BB9</f>
        <v>-29425.95083201</v>
      </c>
      <c r="BE9" s="28">
        <f>AB9-S9</f>
        <v>-24986.93</v>
      </c>
    </row>
    <row r="10" spans="1:57" ht="12.75">
      <c r="A10" s="11" t="s">
        <v>42</v>
      </c>
      <c r="B10" s="39">
        <v>4165.1</v>
      </c>
      <c r="C10" s="113">
        <f>B10*8.65</f>
        <v>36028.115000000005</v>
      </c>
      <c r="D10" s="114">
        <f>C10*0.24088</f>
        <v>8678.452341200002</v>
      </c>
      <c r="E10" s="48">
        <v>2779.2</v>
      </c>
      <c r="F10" s="48">
        <v>522.98</v>
      </c>
      <c r="G10" s="48">
        <v>3752.07</v>
      </c>
      <c r="H10" s="48">
        <v>706</v>
      </c>
      <c r="I10" s="48">
        <v>9032.49</v>
      </c>
      <c r="J10" s="48">
        <v>1699.64</v>
      </c>
      <c r="K10" s="48">
        <v>6253.34</v>
      </c>
      <c r="L10" s="48">
        <v>1176.65</v>
      </c>
      <c r="M10" s="48">
        <v>2223.4</v>
      </c>
      <c r="N10" s="48">
        <v>418.35</v>
      </c>
      <c r="O10" s="48">
        <v>0</v>
      </c>
      <c r="P10" s="48">
        <v>0</v>
      </c>
      <c r="Q10" s="48">
        <v>0</v>
      </c>
      <c r="R10" s="48">
        <v>0</v>
      </c>
      <c r="S10" s="40">
        <f>E10+G10+I10+K10+M10+O10+Q10</f>
        <v>24040.5</v>
      </c>
      <c r="T10" s="99">
        <f>P10+N10+L10+J10+H10+F10+R10</f>
        <v>4523.620000000001</v>
      </c>
      <c r="U10" s="40">
        <v>2033.04</v>
      </c>
      <c r="V10" s="40">
        <v>2744.56</v>
      </c>
      <c r="W10" s="40">
        <v>6607.22</v>
      </c>
      <c r="X10" s="40">
        <v>4574.23</v>
      </c>
      <c r="Y10" s="40">
        <v>1626.39</v>
      </c>
      <c r="Z10" s="45">
        <v>0</v>
      </c>
      <c r="AA10" s="45">
        <v>0</v>
      </c>
      <c r="AB10" s="117">
        <f>SUM(U10:AA10)</f>
        <v>17585.44</v>
      </c>
      <c r="AC10" s="100">
        <f>D10+T10+AB10</f>
        <v>30787.512341200003</v>
      </c>
      <c r="AD10" s="101">
        <f>P10+Z10</f>
        <v>0</v>
      </c>
      <c r="AE10" s="101">
        <f>R10+AA10</f>
        <v>0</v>
      </c>
      <c r="AF10" s="101"/>
      <c r="AG10" s="28">
        <f>0.6*B10</f>
        <v>2499.06</v>
      </c>
      <c r="AH10" s="28">
        <f>B10*0.201</f>
        <v>837.1851000000001</v>
      </c>
      <c r="AI10" s="28">
        <f>0.8518*B10-0.01</f>
        <v>3547.82218</v>
      </c>
      <c r="AJ10" s="28">
        <f>AI10*0.18</f>
        <v>638.6079924</v>
      </c>
      <c r="AK10" s="28">
        <f>1.04*B10*0.9531</f>
        <v>4128.5470824</v>
      </c>
      <c r="AL10" s="28">
        <f>AK10*0.18</f>
        <v>743.138474832</v>
      </c>
      <c r="AM10" s="28">
        <f>(1.91)*B10*0.9531</f>
        <v>7582.2355071</v>
      </c>
      <c r="AN10" s="28">
        <f>AM10*0.18</f>
        <v>1364.802391278</v>
      </c>
      <c r="AO10" s="28"/>
      <c r="AP10" s="28">
        <f>AO10*0.18</f>
        <v>0</v>
      </c>
      <c r="AQ10" s="102"/>
      <c r="AR10" s="102"/>
      <c r="AS10" s="43">
        <v>19780</v>
      </c>
      <c r="AT10" s="43"/>
      <c r="AU10" s="43">
        <f>(AS10+AT10)*0.18</f>
        <v>3560.4</v>
      </c>
      <c r="AV10" s="103"/>
      <c r="AW10" s="104"/>
      <c r="AX10" s="28">
        <f>AW10*1.12*1.18</f>
        <v>0</v>
      </c>
      <c r="AY10" s="105"/>
      <c r="AZ10" s="107"/>
      <c r="BA10" s="107">
        <f>AZ10*0.18</f>
        <v>0</v>
      </c>
      <c r="BB10" s="107">
        <f>SUM(AG10:BA10)-AV10-AW10</f>
        <v>44681.79872801</v>
      </c>
      <c r="BC10" s="108"/>
      <c r="BD10" s="38">
        <f>AC10-BB10</f>
        <v>-13894.286386809996</v>
      </c>
      <c r="BE10" s="28">
        <f>AB10-S10</f>
        <v>-6455.060000000001</v>
      </c>
    </row>
    <row r="11" spans="1:57" ht="12.75">
      <c r="A11" s="11" t="s">
        <v>43</v>
      </c>
      <c r="B11" s="39">
        <v>4165.1</v>
      </c>
      <c r="C11" s="113">
        <f>B11*8.65</f>
        <v>36028.115000000005</v>
      </c>
      <c r="D11" s="114">
        <f>C11*0.24035</f>
        <v>8659.357440250002</v>
      </c>
      <c r="E11" s="48">
        <v>2853.02</v>
      </c>
      <c r="F11" s="48">
        <v>533.93</v>
      </c>
      <c r="G11" s="48">
        <v>3851.68</v>
      </c>
      <c r="H11" s="48">
        <v>720.81</v>
      </c>
      <c r="I11" s="48">
        <v>9214.72</v>
      </c>
      <c r="J11" s="48">
        <v>1735.31</v>
      </c>
      <c r="K11" s="48">
        <v>6419.33</v>
      </c>
      <c r="L11" s="48">
        <v>1201.36</v>
      </c>
      <c r="M11" s="48">
        <v>2282.43</v>
      </c>
      <c r="N11" s="48">
        <v>427.13</v>
      </c>
      <c r="O11" s="48">
        <v>0</v>
      </c>
      <c r="P11" s="49">
        <v>0</v>
      </c>
      <c r="Q11" s="48">
        <v>0</v>
      </c>
      <c r="R11" s="49">
        <v>0</v>
      </c>
      <c r="S11" s="40">
        <f>E11+G11+I11+K11+M11+O11+Q11</f>
        <v>24621.18</v>
      </c>
      <c r="T11" s="99">
        <f>P11+N11+L11+J11+H11+F11+R11</f>
        <v>4618.54</v>
      </c>
      <c r="U11" s="40">
        <v>2785.14</v>
      </c>
      <c r="V11" s="40">
        <v>3761.06</v>
      </c>
      <c r="W11" s="40">
        <v>9022.28</v>
      </c>
      <c r="X11" s="40">
        <v>6267.53</v>
      </c>
      <c r="Y11" s="40">
        <v>2227.98</v>
      </c>
      <c r="Z11" s="45">
        <v>0</v>
      </c>
      <c r="AA11" s="45">
        <v>0</v>
      </c>
      <c r="AB11" s="117">
        <f>SUM(U11:AA11)</f>
        <v>24063.989999999998</v>
      </c>
      <c r="AC11" s="100">
        <f>D11+T11+AB11</f>
        <v>37341.88744025</v>
      </c>
      <c r="AD11" s="101">
        <f>P11+Z11</f>
        <v>0</v>
      </c>
      <c r="AE11" s="101">
        <f>R11+AA11</f>
        <v>0</v>
      </c>
      <c r="AF11" s="101"/>
      <c r="AG11" s="28">
        <f>0.6*B11</f>
        <v>2499.06</v>
      </c>
      <c r="AH11" s="28">
        <f>B11*0.2*1.02524</f>
        <v>854.0454248000001</v>
      </c>
      <c r="AI11" s="28">
        <f>0.84932*B11</f>
        <v>3537.5027320000004</v>
      </c>
      <c r="AJ11" s="28">
        <f>AI11*0.18</f>
        <v>636.75049176</v>
      </c>
      <c r="AK11" s="28">
        <f>1.04*B11*0.95033</f>
        <v>4116.5482623200005</v>
      </c>
      <c r="AL11" s="28">
        <f>AK11*0.18</f>
        <v>740.9786872176</v>
      </c>
      <c r="AM11" s="28">
        <f>(1.91)*B11*0.95033</f>
        <v>7560.19921253</v>
      </c>
      <c r="AN11" s="28">
        <f>AM11*0.18</f>
        <v>1360.8358582554</v>
      </c>
      <c r="AO11" s="28"/>
      <c r="AP11" s="28">
        <f>AO11*0.18</f>
        <v>0</v>
      </c>
      <c r="AQ11" s="102"/>
      <c r="AR11" s="102"/>
      <c r="AS11" s="43">
        <v>9326</v>
      </c>
      <c r="AT11" s="43">
        <v>4597</v>
      </c>
      <c r="AU11" s="43">
        <f>(AS11+AT11)*0.18</f>
        <v>2506.14</v>
      </c>
      <c r="AV11" s="103"/>
      <c r="AW11" s="104"/>
      <c r="AX11" s="28">
        <f>AW11*1.12*1.18</f>
        <v>0</v>
      </c>
      <c r="AY11" s="105"/>
      <c r="AZ11" s="107"/>
      <c r="BA11" s="107">
        <f>AZ11*0.18</f>
        <v>0</v>
      </c>
      <c r="BB11" s="107">
        <f>SUM(AG11:BA11)-AV11-AW11</f>
        <v>37735.060668883</v>
      </c>
      <c r="BC11" s="108"/>
      <c r="BD11" s="38">
        <f>AC11-BB11</f>
        <v>-393.1732286330007</v>
      </c>
      <c r="BE11" s="28">
        <f>AB11-S11</f>
        <v>-557.1900000000023</v>
      </c>
    </row>
    <row r="12" spans="1:57" s="25" customFormat="1" ht="15" customHeight="1">
      <c r="A12" s="20" t="s">
        <v>5</v>
      </c>
      <c r="B12" s="21"/>
      <c r="C12" s="21">
        <f>SUM(C9:C11)+C26</f>
        <v>540411.3450000001</v>
      </c>
      <c r="D12" s="21">
        <f aca="true" t="shared" si="0" ref="D12:BB12">SUM(D9:D11)</f>
        <v>26016.262122650005</v>
      </c>
      <c r="E12" s="21">
        <f t="shared" si="0"/>
        <v>8572.02</v>
      </c>
      <c r="F12" s="21">
        <f t="shared" si="0"/>
        <v>1593.33</v>
      </c>
      <c r="G12" s="21">
        <f t="shared" si="0"/>
        <v>11572.61</v>
      </c>
      <c r="H12" s="21">
        <f t="shared" si="0"/>
        <v>2150.97</v>
      </c>
      <c r="I12" s="21">
        <f t="shared" si="0"/>
        <v>27801.64</v>
      </c>
      <c r="J12" s="21">
        <f t="shared" si="0"/>
        <v>5178.34</v>
      </c>
      <c r="K12" s="21">
        <f t="shared" si="0"/>
        <v>19287.300000000003</v>
      </c>
      <c r="L12" s="21">
        <f t="shared" si="0"/>
        <v>3584.9799999999996</v>
      </c>
      <c r="M12" s="21">
        <f t="shared" si="0"/>
        <v>6857.67</v>
      </c>
      <c r="N12" s="21">
        <f t="shared" si="0"/>
        <v>1274.6100000000001</v>
      </c>
      <c r="O12" s="21">
        <f t="shared" si="0"/>
        <v>0</v>
      </c>
      <c r="P12" s="21">
        <f t="shared" si="0"/>
        <v>0</v>
      </c>
      <c r="Q12" s="21">
        <f t="shared" si="0"/>
        <v>0</v>
      </c>
      <c r="R12" s="21">
        <f t="shared" si="0"/>
        <v>0</v>
      </c>
      <c r="S12" s="22">
        <f t="shared" si="0"/>
        <v>74091.23999999999</v>
      </c>
      <c r="T12" s="22">
        <f t="shared" si="0"/>
        <v>13782.23</v>
      </c>
      <c r="U12" s="23">
        <f t="shared" si="0"/>
        <v>4872.719999999999</v>
      </c>
      <c r="V12" s="23">
        <f t="shared" si="0"/>
        <v>6578.4</v>
      </c>
      <c r="W12" s="23">
        <f t="shared" si="0"/>
        <v>15779.010000000002</v>
      </c>
      <c r="X12" s="23">
        <f t="shared" si="0"/>
        <v>10963.73</v>
      </c>
      <c r="Y12" s="23">
        <f t="shared" si="0"/>
        <v>3898.2</v>
      </c>
      <c r="Z12" s="23">
        <f t="shared" si="0"/>
        <v>0</v>
      </c>
      <c r="AA12" s="23">
        <f t="shared" si="0"/>
        <v>0</v>
      </c>
      <c r="AB12" s="23">
        <f t="shared" si="0"/>
        <v>42092.06</v>
      </c>
      <c r="AC12" s="23">
        <f t="shared" si="0"/>
        <v>81890.55212265</v>
      </c>
      <c r="AD12" s="59">
        <f t="shared" si="0"/>
        <v>0</v>
      </c>
      <c r="AE12" s="59">
        <f t="shared" si="0"/>
        <v>0</v>
      </c>
      <c r="AF12" s="59"/>
      <c r="AG12" s="24">
        <f t="shared" si="0"/>
        <v>7497.18</v>
      </c>
      <c r="AH12" s="24">
        <f t="shared" si="0"/>
        <v>2572.78227</v>
      </c>
      <c r="AI12" s="24">
        <f t="shared" si="0"/>
        <v>10633.147092000001</v>
      </c>
      <c r="AJ12" s="24">
        <f t="shared" si="0"/>
        <v>1913.96647656</v>
      </c>
      <c r="AK12" s="24">
        <f t="shared" si="0"/>
        <v>12373.642427120001</v>
      </c>
      <c r="AL12" s="24">
        <f t="shared" si="0"/>
        <v>2227.2556368816004</v>
      </c>
      <c r="AM12" s="24">
        <f>SUM(AM9:AM11)</f>
        <v>22724.67022673</v>
      </c>
      <c r="AN12" s="24">
        <f>SUM(AN9:AN11)</f>
        <v>4090.4406408114</v>
      </c>
      <c r="AO12" s="24">
        <f t="shared" si="0"/>
        <v>0</v>
      </c>
      <c r="AP12" s="24">
        <f t="shared" si="0"/>
        <v>0</v>
      </c>
      <c r="AQ12" s="24"/>
      <c r="AR12" s="24"/>
      <c r="AS12" s="37">
        <f t="shared" si="0"/>
        <v>47581.71</v>
      </c>
      <c r="AT12" s="37">
        <f t="shared" si="0"/>
        <v>4597</v>
      </c>
      <c r="AU12" s="37">
        <f t="shared" si="0"/>
        <v>9392.1678</v>
      </c>
      <c r="AV12" s="24"/>
      <c r="AW12" s="24"/>
      <c r="AX12" s="24">
        <f t="shared" si="0"/>
        <v>0</v>
      </c>
      <c r="AY12" s="24">
        <f t="shared" si="0"/>
        <v>0</v>
      </c>
      <c r="AZ12" s="24">
        <f t="shared" si="0"/>
        <v>0</v>
      </c>
      <c r="BA12" s="24">
        <f t="shared" si="0"/>
        <v>0</v>
      </c>
      <c r="BB12" s="24">
        <f t="shared" si="0"/>
        <v>125603.962570103</v>
      </c>
      <c r="BC12" s="24">
        <f>SUM(BC9:BC11)</f>
        <v>0</v>
      </c>
      <c r="BD12" s="46">
        <f>SUM(BD9:BD11)</f>
        <v>-43713.410447452996</v>
      </c>
      <c r="BE12" s="24">
        <f>SUM(BE9:BE11)</f>
        <v>-31999.180000000004</v>
      </c>
    </row>
    <row r="13" spans="1:57" ht="15" customHeight="1">
      <c r="A13" s="5" t="s">
        <v>44</v>
      </c>
      <c r="B13" s="12"/>
      <c r="C13" s="13"/>
      <c r="D13" s="13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36"/>
      <c r="P13" s="15"/>
      <c r="Q13" s="14"/>
      <c r="R13" s="14"/>
      <c r="S13" s="14"/>
      <c r="T13" s="14"/>
      <c r="U13" s="26"/>
      <c r="V13" s="26"/>
      <c r="W13" s="26"/>
      <c r="X13" s="26"/>
      <c r="Y13" s="26"/>
      <c r="Z13" s="26"/>
      <c r="AA13" s="16"/>
      <c r="AB13" s="16"/>
      <c r="AC13" s="57"/>
      <c r="AD13" s="58"/>
      <c r="AE13" s="58"/>
      <c r="AF13" s="58"/>
      <c r="AG13" s="17"/>
      <c r="AH13" s="17"/>
      <c r="AI13" s="17"/>
      <c r="AJ13" s="17"/>
      <c r="AK13" s="17"/>
      <c r="AL13" s="17"/>
      <c r="AM13" s="17"/>
      <c r="AN13" s="17"/>
      <c r="AO13" s="18"/>
      <c r="AP13" s="18"/>
      <c r="AQ13" s="18"/>
      <c r="AR13" s="18"/>
      <c r="AS13" s="42"/>
      <c r="AT13" s="42"/>
      <c r="AU13" s="27"/>
      <c r="AV13" s="17"/>
      <c r="AW13" s="17"/>
      <c r="AX13" s="18"/>
      <c r="AY13" s="18"/>
      <c r="AZ13" s="18"/>
      <c r="BA13" s="17"/>
      <c r="BB13" s="17"/>
      <c r="BC13" s="17"/>
      <c r="BD13" s="38"/>
      <c r="BE13" s="29"/>
    </row>
    <row r="14" spans="1:57" ht="12.75">
      <c r="A14" s="11" t="s">
        <v>45</v>
      </c>
      <c r="B14" s="47">
        <v>4165.1</v>
      </c>
      <c r="C14" s="113">
        <f aca="true" t="shared" si="1" ref="C14:C25">B14*8.65</f>
        <v>36028.115000000005</v>
      </c>
      <c r="D14" s="114">
        <f>C14*0.125</f>
        <v>4503.514375000001</v>
      </c>
      <c r="E14" s="48">
        <v>2856.02</v>
      </c>
      <c r="F14" s="48">
        <v>522.29</v>
      </c>
      <c r="G14" s="48">
        <v>3855.74</v>
      </c>
      <c r="H14" s="48">
        <v>705.08</v>
      </c>
      <c r="I14" s="48">
        <v>9282.08</v>
      </c>
      <c r="J14" s="48">
        <v>1697.44</v>
      </c>
      <c r="K14" s="48">
        <v>6426.1</v>
      </c>
      <c r="L14" s="48">
        <v>1175.14</v>
      </c>
      <c r="M14" s="48">
        <v>2284.83</v>
      </c>
      <c r="N14" s="48">
        <v>417.81</v>
      </c>
      <c r="O14" s="48">
        <v>0</v>
      </c>
      <c r="P14" s="49">
        <v>0</v>
      </c>
      <c r="Q14" s="48">
        <v>0</v>
      </c>
      <c r="R14" s="49">
        <v>0</v>
      </c>
      <c r="S14" s="40">
        <f aca="true" t="shared" si="2" ref="S14:S25">E14+G14+I14+K14+M14+O14+Q14</f>
        <v>24704.770000000004</v>
      </c>
      <c r="T14" s="99">
        <f aca="true" t="shared" si="3" ref="T14:T25">P14+N14+L14+J14+H14+F14+R14</f>
        <v>4517.76</v>
      </c>
      <c r="U14" s="40">
        <v>1968.19</v>
      </c>
      <c r="V14" s="40">
        <v>2657.19</v>
      </c>
      <c r="W14" s="40">
        <v>6396.6</v>
      </c>
      <c r="X14" s="40">
        <v>4428.53</v>
      </c>
      <c r="Y14" s="40">
        <v>1574.6</v>
      </c>
      <c r="Z14" s="45">
        <v>0</v>
      </c>
      <c r="AA14" s="45">
        <v>0</v>
      </c>
      <c r="AB14" s="119">
        <f aca="true" t="shared" si="4" ref="AB14:AB22">SUM(U14:AA14)</f>
        <v>17025.109999999997</v>
      </c>
      <c r="AC14" s="100">
        <f aca="true" t="shared" si="5" ref="AC14:AC22">D14+T14+AB14</f>
        <v>26046.384374999998</v>
      </c>
      <c r="AD14" s="101">
        <f aca="true" t="shared" si="6" ref="AD14:AD25">P14+Z14</f>
        <v>0</v>
      </c>
      <c r="AE14" s="101">
        <f aca="true" t="shared" si="7" ref="AE14:AE25">R14+AA14</f>
        <v>0</v>
      </c>
      <c r="AF14" s="101">
        <f>'[4]Т01-09'!$I$8</f>
        <v>906.3285</v>
      </c>
      <c r="AG14" s="28">
        <f>0.6*B14*0.9</f>
        <v>2249.154</v>
      </c>
      <c r="AH14" s="28">
        <f>B14*0.2*0.891</f>
        <v>742.2208200000001</v>
      </c>
      <c r="AI14" s="28">
        <f>0.85*B14*0.867-0.02</f>
        <v>3069.450445</v>
      </c>
      <c r="AJ14" s="28">
        <f aca="true" t="shared" si="8" ref="AJ14:AJ25">AI14*0.18</f>
        <v>552.5010801</v>
      </c>
      <c r="AK14" s="28">
        <f>0.83*B14*0.8686</f>
        <v>3002.7788638000006</v>
      </c>
      <c r="AL14" s="28">
        <f aca="true" t="shared" si="9" ref="AL14:AL25">AK14*0.18</f>
        <v>540.5001954840001</v>
      </c>
      <c r="AM14" s="28">
        <f>1.91*B14*0.8686</f>
        <v>6910.0091926000005</v>
      </c>
      <c r="AN14" s="28">
        <f aca="true" t="shared" si="10" ref="AN14:AN25">AM14*0.18</f>
        <v>1243.801654668</v>
      </c>
      <c r="AO14" s="28"/>
      <c r="AP14" s="28">
        <f aca="true" t="shared" si="11" ref="AP14:AR25">AO14*0.18</f>
        <v>0</v>
      </c>
      <c r="AQ14" s="102"/>
      <c r="AR14" s="102">
        <f>AQ14*0.18</f>
        <v>0</v>
      </c>
      <c r="AS14" s="43">
        <v>1089</v>
      </c>
      <c r="AT14" s="43"/>
      <c r="AU14" s="43">
        <f>(AS14+AT14)*0.18+0.01</f>
        <v>196.02999999999997</v>
      </c>
      <c r="AV14" s="103"/>
      <c r="AW14" s="104">
        <v>1300</v>
      </c>
      <c r="AX14" s="28">
        <f>AW14*1.12*1.18</f>
        <v>1718.0800000000002</v>
      </c>
      <c r="AY14" s="105"/>
      <c r="AZ14" s="107"/>
      <c r="BA14" s="107">
        <f>AZ14*0.18</f>
        <v>0</v>
      </c>
      <c r="BB14" s="107">
        <f>SUM(AG14:AU14)</f>
        <v>19595.446251652</v>
      </c>
      <c r="BC14" s="108">
        <f>'[3]Т01-09'!$O$8</f>
        <v>385.31387150000006</v>
      </c>
      <c r="BD14" s="38">
        <f>AC14+AF14-BB14-BC14</f>
        <v>6971.952751847997</v>
      </c>
      <c r="BE14" s="28">
        <f>AB14-S14</f>
        <v>-7679.660000000007</v>
      </c>
    </row>
    <row r="15" spans="1:57" ht="12.75">
      <c r="A15" s="11" t="s">
        <v>46</v>
      </c>
      <c r="B15" s="47">
        <v>4165.1</v>
      </c>
      <c r="C15" s="113">
        <f t="shared" si="1"/>
        <v>36028.115000000005</v>
      </c>
      <c r="D15" s="114">
        <f>C15*0.125</f>
        <v>4503.514375000001</v>
      </c>
      <c r="E15" s="48">
        <v>2883.83</v>
      </c>
      <c r="F15" s="48">
        <v>539.81</v>
      </c>
      <c r="G15" s="48">
        <v>3893.32</v>
      </c>
      <c r="H15" s="48">
        <v>728.73</v>
      </c>
      <c r="I15" s="48">
        <v>9372.53</v>
      </c>
      <c r="J15" s="48">
        <v>1754.38</v>
      </c>
      <c r="K15" s="48">
        <v>6488.72</v>
      </c>
      <c r="L15" s="48">
        <v>1214.56</v>
      </c>
      <c r="M15" s="48">
        <v>2307.1</v>
      </c>
      <c r="N15" s="48">
        <v>431.83</v>
      </c>
      <c r="O15" s="48">
        <v>0</v>
      </c>
      <c r="P15" s="49">
        <v>0</v>
      </c>
      <c r="Q15" s="48">
        <v>0</v>
      </c>
      <c r="R15" s="49">
        <v>0</v>
      </c>
      <c r="S15" s="40">
        <f t="shared" si="2"/>
        <v>24945.5</v>
      </c>
      <c r="T15" s="99">
        <f t="shared" si="3"/>
        <v>4669.3099999999995</v>
      </c>
      <c r="U15" s="40">
        <v>2448.7</v>
      </c>
      <c r="V15" s="40">
        <v>3305.76</v>
      </c>
      <c r="W15" s="40">
        <v>7958.16</v>
      </c>
      <c r="X15" s="40">
        <v>5509.57</v>
      </c>
      <c r="Y15" s="40">
        <v>1958.94</v>
      </c>
      <c r="Z15" s="45">
        <v>0</v>
      </c>
      <c r="AA15" s="45">
        <v>0</v>
      </c>
      <c r="AB15" s="117">
        <f t="shared" si="4"/>
        <v>21181.129999999997</v>
      </c>
      <c r="AC15" s="100">
        <f t="shared" si="5"/>
        <v>30353.954374999998</v>
      </c>
      <c r="AD15" s="101">
        <f t="shared" si="6"/>
        <v>0</v>
      </c>
      <c r="AE15" s="101">
        <f t="shared" si="7"/>
        <v>0</v>
      </c>
      <c r="AF15" s="101">
        <f>'[4]Т02-09'!$I$8</f>
        <v>906.3285</v>
      </c>
      <c r="AG15" s="28">
        <f>0.6*B15*0.9</f>
        <v>2249.154</v>
      </c>
      <c r="AH15" s="28">
        <f>B15*0.2*0.9153</f>
        <v>762.4632060000001</v>
      </c>
      <c r="AI15" s="28">
        <f>0.85*B15*0.866</f>
        <v>3065.93011</v>
      </c>
      <c r="AJ15" s="28">
        <f t="shared" si="8"/>
        <v>551.8674198</v>
      </c>
      <c r="AK15" s="28">
        <f>0.83*B15*0.8684</f>
        <v>3002.0874572000002</v>
      </c>
      <c r="AL15" s="28">
        <f t="shared" si="9"/>
        <v>540.375742296</v>
      </c>
      <c r="AM15" s="28">
        <f>(1.91)*B15*0.8684</f>
        <v>6908.4181244</v>
      </c>
      <c r="AN15" s="28">
        <f t="shared" si="10"/>
        <v>1243.515262392</v>
      </c>
      <c r="AO15" s="28"/>
      <c r="AP15" s="28">
        <f t="shared" si="11"/>
        <v>0</v>
      </c>
      <c r="AQ15" s="102"/>
      <c r="AR15" s="102">
        <f>AQ15*0.18</f>
        <v>0</v>
      </c>
      <c r="AS15" s="43">
        <v>5845</v>
      </c>
      <c r="AT15" s="43">
        <f>756*6</f>
        <v>4536</v>
      </c>
      <c r="AU15" s="43">
        <f aca="true" t="shared" si="12" ref="AU15:AU25">(AS15+AT15)*0.18</f>
        <v>1868.58</v>
      </c>
      <c r="AV15" s="103"/>
      <c r="AW15" s="104">
        <v>1012</v>
      </c>
      <c r="AX15" s="28">
        <f>AW15*1.12*1.18</f>
        <v>1337.4592</v>
      </c>
      <c r="AY15" s="105"/>
      <c r="AZ15" s="107"/>
      <c r="BA15" s="107">
        <f>AZ15*0.18</f>
        <v>0</v>
      </c>
      <c r="BB15" s="107">
        <f>SUM(AG15:AU15)+AY15</f>
        <v>30573.391322088</v>
      </c>
      <c r="BC15" s="120">
        <f>'[3]Т02-09'!$O$8</f>
        <v>385.904904</v>
      </c>
      <c r="BD15" s="38">
        <f aca="true" t="shared" si="13" ref="BD15:BD25">AC15+AF15-BB15-BC15</f>
        <v>300.9866489119986</v>
      </c>
      <c r="BE15" s="28">
        <f aca="true" t="shared" si="14" ref="BE15:BE25">AB15-S15</f>
        <v>-3764.3700000000026</v>
      </c>
    </row>
    <row r="16" spans="1:57" ht="12.75">
      <c r="A16" s="11" t="s">
        <v>47</v>
      </c>
      <c r="B16" s="121">
        <v>4165.1</v>
      </c>
      <c r="C16" s="113">
        <f t="shared" si="1"/>
        <v>36028.115000000005</v>
      </c>
      <c r="D16" s="114">
        <f>C16*0.125</f>
        <v>4503.514375000001</v>
      </c>
      <c r="E16" s="50">
        <v>2869.84</v>
      </c>
      <c r="F16" s="50">
        <v>539.81</v>
      </c>
      <c r="G16" s="50">
        <v>3874.4</v>
      </c>
      <c r="H16" s="50">
        <v>728.73</v>
      </c>
      <c r="I16" s="50">
        <v>9327.05</v>
      </c>
      <c r="J16" s="50">
        <v>1754.38</v>
      </c>
      <c r="K16" s="50">
        <v>6457.23</v>
      </c>
      <c r="L16" s="50">
        <v>1214.56</v>
      </c>
      <c r="M16" s="50">
        <v>2295.87</v>
      </c>
      <c r="N16" s="50">
        <v>431.83</v>
      </c>
      <c r="O16" s="50">
        <v>0</v>
      </c>
      <c r="P16" s="51">
        <v>0</v>
      </c>
      <c r="Q16" s="50">
        <v>0</v>
      </c>
      <c r="R16" s="51">
        <v>0</v>
      </c>
      <c r="S16" s="40">
        <f t="shared" si="2"/>
        <v>24824.389999999996</v>
      </c>
      <c r="T16" s="99">
        <f t="shared" si="3"/>
        <v>4669.3099999999995</v>
      </c>
      <c r="U16" s="41">
        <v>2874.43</v>
      </c>
      <c r="V16" s="41">
        <v>3880.43</v>
      </c>
      <c r="W16" s="41">
        <v>9340.67</v>
      </c>
      <c r="X16" s="41">
        <v>6466.27</v>
      </c>
      <c r="Y16" s="41">
        <v>2299.35</v>
      </c>
      <c r="Z16" s="122">
        <v>0</v>
      </c>
      <c r="AA16" s="122">
        <v>0</v>
      </c>
      <c r="AB16" s="119">
        <f t="shared" si="4"/>
        <v>24861.149999999998</v>
      </c>
      <c r="AC16" s="100">
        <f t="shared" si="5"/>
        <v>34033.974375</v>
      </c>
      <c r="AD16" s="101">
        <f t="shared" si="6"/>
        <v>0</v>
      </c>
      <c r="AE16" s="101">
        <f t="shared" si="7"/>
        <v>0</v>
      </c>
      <c r="AF16" s="101">
        <f>'[4]Т02-09'!$I$8</f>
        <v>906.3285</v>
      </c>
      <c r="AG16" s="28">
        <f>0.6*B16*0.9</f>
        <v>2249.154</v>
      </c>
      <c r="AH16" s="88">
        <f>B16*0.2*0.9082-0.01</f>
        <v>756.5387640000001</v>
      </c>
      <c r="AI16" s="28">
        <f>0.85*B16*0.8675</f>
        <v>3071.2406125</v>
      </c>
      <c r="AJ16" s="28">
        <f t="shared" si="8"/>
        <v>552.8233102500001</v>
      </c>
      <c r="AK16" s="88">
        <f>0.83*B16*0.838</f>
        <v>2896.9936540000003</v>
      </c>
      <c r="AL16" s="28">
        <f t="shared" si="9"/>
        <v>521.4588577200001</v>
      </c>
      <c r="AM16" s="28">
        <f>1.91*B16*0.8381</f>
        <v>6667.3712921</v>
      </c>
      <c r="AN16" s="28">
        <f t="shared" si="10"/>
        <v>1200.126832578</v>
      </c>
      <c r="AO16" s="28"/>
      <c r="AP16" s="28">
        <f t="shared" si="11"/>
        <v>0</v>
      </c>
      <c r="AQ16" s="102">
        <v>17012.96</v>
      </c>
      <c r="AR16" s="102">
        <f>AQ16*0.18</f>
        <v>3062.3327999999997</v>
      </c>
      <c r="AS16" s="43">
        <v>12432</v>
      </c>
      <c r="AT16" s="43"/>
      <c r="AU16" s="43">
        <f t="shared" si="12"/>
        <v>2237.7599999999998</v>
      </c>
      <c r="AV16" s="103"/>
      <c r="AW16" s="123">
        <v>854</v>
      </c>
      <c r="AX16" s="28">
        <f>AW16*1.12*1.18</f>
        <v>1128.6464</v>
      </c>
      <c r="AY16" s="105"/>
      <c r="AZ16" s="107"/>
      <c r="BA16" s="107">
        <f>AZ16*0.18</f>
        <v>0</v>
      </c>
      <c r="BB16" s="107">
        <f>SUM(AG16:AU16)</f>
        <v>52660.76012314799</v>
      </c>
      <c r="BC16" s="120">
        <f>'[3]Т03-09'!$O$8</f>
        <v>377.81073825</v>
      </c>
      <c r="BD16" s="38">
        <f t="shared" si="13"/>
        <v>-18098.26798639799</v>
      </c>
      <c r="BE16" s="28">
        <f t="shared" si="14"/>
        <v>36.76000000000204</v>
      </c>
    </row>
    <row r="17" spans="1:57" ht="12.75">
      <c r="A17" s="11" t="s">
        <v>48</v>
      </c>
      <c r="B17" s="124">
        <v>4165.1</v>
      </c>
      <c r="C17" s="113">
        <f t="shared" si="1"/>
        <v>36028.115000000005</v>
      </c>
      <c r="D17" s="114">
        <f>C17*0.125</f>
        <v>4503.514375000001</v>
      </c>
      <c r="E17" s="50">
        <v>2883.76</v>
      </c>
      <c r="F17" s="50">
        <v>539.81</v>
      </c>
      <c r="G17" s="50">
        <v>3893.18</v>
      </c>
      <c r="H17" s="50">
        <v>728.73</v>
      </c>
      <c r="I17" s="50">
        <v>9372.27</v>
      </c>
      <c r="J17" s="50">
        <v>1754.38</v>
      </c>
      <c r="K17" s="50">
        <v>6488.53</v>
      </c>
      <c r="L17" s="50">
        <v>1214.56</v>
      </c>
      <c r="M17" s="50">
        <v>2307.01</v>
      </c>
      <c r="N17" s="50">
        <v>431.83</v>
      </c>
      <c r="O17" s="50">
        <v>0</v>
      </c>
      <c r="P17" s="51">
        <v>0</v>
      </c>
      <c r="Q17" s="50">
        <v>0</v>
      </c>
      <c r="R17" s="51">
        <v>0</v>
      </c>
      <c r="S17" s="40">
        <f t="shared" si="2"/>
        <v>24944.75</v>
      </c>
      <c r="T17" s="99">
        <f t="shared" si="3"/>
        <v>4669.3099999999995</v>
      </c>
      <c r="U17" s="40">
        <v>2573.79</v>
      </c>
      <c r="V17" s="40">
        <v>3474.95</v>
      </c>
      <c r="W17" s="40">
        <v>8366.15</v>
      </c>
      <c r="X17" s="40">
        <v>5792.36</v>
      </c>
      <c r="Y17" s="40">
        <v>2059.26</v>
      </c>
      <c r="Z17" s="40">
        <v>0</v>
      </c>
      <c r="AA17" s="40">
        <v>0</v>
      </c>
      <c r="AB17" s="119">
        <f t="shared" si="4"/>
        <v>22266.510000000002</v>
      </c>
      <c r="AC17" s="100">
        <f t="shared" si="5"/>
        <v>31439.334375000002</v>
      </c>
      <c r="AD17" s="101">
        <f t="shared" si="6"/>
        <v>0</v>
      </c>
      <c r="AE17" s="101">
        <f t="shared" si="7"/>
        <v>0</v>
      </c>
      <c r="AF17" s="101">
        <f>'[3]Т04-09'!$I$8+'[3]Т04-09'!$I$37</f>
        <v>1899.99411</v>
      </c>
      <c r="AG17" s="28">
        <f>0.6*B17*0.9</f>
        <v>2249.154</v>
      </c>
      <c r="AH17" s="88">
        <f>B17*0.2*0.9234</f>
        <v>769.210668</v>
      </c>
      <c r="AI17" s="28">
        <f>0.85*B17*0.8934</f>
        <v>3162.935289</v>
      </c>
      <c r="AJ17" s="28">
        <f t="shared" si="8"/>
        <v>569.32835202</v>
      </c>
      <c r="AK17" s="28">
        <f>0.83*B17*0.8498</f>
        <v>2937.7866434000002</v>
      </c>
      <c r="AL17" s="28">
        <f t="shared" si="9"/>
        <v>528.8015958120001</v>
      </c>
      <c r="AM17" s="28">
        <f>(1.91)*B17*0.8498-0.01</f>
        <v>6760.4387818000005</v>
      </c>
      <c r="AN17" s="28">
        <f t="shared" si="10"/>
        <v>1216.878980724</v>
      </c>
      <c r="AO17" s="28"/>
      <c r="AP17" s="28">
        <f t="shared" si="11"/>
        <v>0</v>
      </c>
      <c r="AQ17" s="102">
        <f>1588.983+1153.33</f>
        <v>2742.313</v>
      </c>
      <c r="AR17" s="102">
        <f t="shared" si="11"/>
        <v>493.61634</v>
      </c>
      <c r="AS17" s="43">
        <v>9366.5</v>
      </c>
      <c r="AT17" s="43"/>
      <c r="AU17" s="43">
        <f t="shared" si="12"/>
        <v>1685.97</v>
      </c>
      <c r="AV17" s="103"/>
      <c r="AW17" s="125">
        <v>801</v>
      </c>
      <c r="AX17" s="28">
        <f>AW17*1.12*1.18+AX14+AX15+AX16</f>
        <v>5242.787200000001</v>
      </c>
      <c r="AY17" s="105"/>
      <c r="AZ17" s="107"/>
      <c r="BA17" s="107">
        <f aca="true" t="shared" si="15" ref="BA17:BA25">AZ17*0.18</f>
        <v>0</v>
      </c>
      <c r="BB17" s="107">
        <f aca="true" t="shared" si="16" ref="BB17:BB22">SUM(AG17:BA17)-AV17-AW17</f>
        <v>37725.720850756</v>
      </c>
      <c r="BC17" s="127">
        <f>'[3]Т04-09'!$O$8+'[3]Т04-09'!$O$37</f>
        <v>814.6255618200001</v>
      </c>
      <c r="BD17" s="38">
        <f t="shared" si="13"/>
        <v>-5201.017927575994</v>
      </c>
      <c r="BE17" s="28">
        <f t="shared" si="14"/>
        <v>-2678.239999999998</v>
      </c>
    </row>
    <row r="18" spans="1:57" ht="12.75">
      <c r="A18" s="11" t="s">
        <v>49</v>
      </c>
      <c r="B18" s="121">
        <v>4165.1</v>
      </c>
      <c r="C18" s="113">
        <f t="shared" si="1"/>
        <v>36028.115000000005</v>
      </c>
      <c r="D18" s="98">
        <f aca="true" t="shared" si="17" ref="D18:D25">C18-E18-F18-G18-H18-I18-J18-K18-L18-M18-N18</f>
        <v>3357.1850000000036</v>
      </c>
      <c r="E18" s="50">
        <v>3162.43</v>
      </c>
      <c r="F18" s="50">
        <v>608.4</v>
      </c>
      <c r="G18" s="50">
        <v>4283.68</v>
      </c>
      <c r="H18" s="50">
        <v>824.69</v>
      </c>
      <c r="I18" s="50">
        <v>10292.38</v>
      </c>
      <c r="J18" s="50">
        <v>1980.58</v>
      </c>
      <c r="K18" s="50">
        <v>7129.88</v>
      </c>
      <c r="L18" s="50">
        <v>1372.25</v>
      </c>
      <c r="M18" s="50">
        <v>2529.93</v>
      </c>
      <c r="N18" s="50">
        <v>486.71</v>
      </c>
      <c r="O18" s="50">
        <v>0</v>
      </c>
      <c r="P18" s="51">
        <v>0</v>
      </c>
      <c r="Q18" s="50">
        <v>0</v>
      </c>
      <c r="R18" s="51">
        <v>0</v>
      </c>
      <c r="S18" s="40">
        <f t="shared" si="2"/>
        <v>27398.3</v>
      </c>
      <c r="T18" s="99">
        <f t="shared" si="3"/>
        <v>5272.629999999999</v>
      </c>
      <c r="U18" s="41">
        <v>2491.79</v>
      </c>
      <c r="V18" s="41">
        <v>3364.05</v>
      </c>
      <c r="W18" s="41">
        <v>8098.33</v>
      </c>
      <c r="X18" s="41">
        <v>5606.54</v>
      </c>
      <c r="Y18" s="41">
        <v>1993.42</v>
      </c>
      <c r="Z18" s="122">
        <v>0</v>
      </c>
      <c r="AA18" s="122">
        <v>0</v>
      </c>
      <c r="AB18" s="119">
        <f t="shared" si="4"/>
        <v>21554.129999999997</v>
      </c>
      <c r="AC18" s="100">
        <f t="shared" si="5"/>
        <v>30183.945</v>
      </c>
      <c r="AD18" s="101">
        <f t="shared" si="6"/>
        <v>0</v>
      </c>
      <c r="AE18" s="101">
        <f t="shared" si="7"/>
        <v>0</v>
      </c>
      <c r="AF18" s="101">
        <f>'[3]Т04-09'!$I$8+'[3]Т04-09'!$I$37</f>
        <v>1899.99411</v>
      </c>
      <c r="AG18" s="28">
        <f aca="true" t="shared" si="18" ref="AG18:AG25">0.6*B18</f>
        <v>2499.06</v>
      </c>
      <c r="AH18" s="28">
        <f>B18*0.2*1.01</f>
        <v>841.3502000000001</v>
      </c>
      <c r="AI18" s="28">
        <f>0.85*B18</f>
        <v>3540.335</v>
      </c>
      <c r="AJ18" s="28">
        <f t="shared" si="8"/>
        <v>637.2603</v>
      </c>
      <c r="AK18" s="28">
        <f>0.83*B18</f>
        <v>3457.0330000000004</v>
      </c>
      <c r="AL18" s="28">
        <f t="shared" si="9"/>
        <v>622.26594</v>
      </c>
      <c r="AM18" s="28">
        <f>(1.91)*B18</f>
        <v>7955.341</v>
      </c>
      <c r="AN18" s="28">
        <f t="shared" si="10"/>
        <v>1431.96138</v>
      </c>
      <c r="AO18" s="28"/>
      <c r="AP18" s="28">
        <f t="shared" si="11"/>
        <v>0</v>
      </c>
      <c r="AQ18" s="102"/>
      <c r="AR18" s="102">
        <f t="shared" si="11"/>
        <v>0</v>
      </c>
      <c r="AS18" s="43">
        <v>6446.31</v>
      </c>
      <c r="AT18" s="43">
        <v>600</v>
      </c>
      <c r="AU18" s="43">
        <f t="shared" si="12"/>
        <v>1268.3358</v>
      </c>
      <c r="AV18" s="103"/>
      <c r="AW18" s="128">
        <v>670</v>
      </c>
      <c r="AX18" s="28">
        <f aca="true" t="shared" si="19" ref="AX18:AX25">AW18*1.12*1.18</f>
        <v>885.4720000000001</v>
      </c>
      <c r="AY18" s="105"/>
      <c r="AZ18" s="107"/>
      <c r="BA18" s="107">
        <f t="shared" si="15"/>
        <v>0</v>
      </c>
      <c r="BB18" s="107">
        <f t="shared" si="16"/>
        <v>30184.724620000005</v>
      </c>
      <c r="BC18" s="127">
        <f>'[3]Т05-09'!$O$8+'[3]Т05-09'!$O$37</f>
        <v>909.3331207370002</v>
      </c>
      <c r="BD18" s="38">
        <f t="shared" si="13"/>
        <v>989.8813692629947</v>
      </c>
      <c r="BE18" s="28">
        <f t="shared" si="14"/>
        <v>-5844.170000000002</v>
      </c>
    </row>
    <row r="19" spans="1:57" ht="12.75">
      <c r="A19" s="11" t="s">
        <v>50</v>
      </c>
      <c r="B19" s="121">
        <v>4165.1</v>
      </c>
      <c r="C19" s="113">
        <f t="shared" si="1"/>
        <v>36028.115000000005</v>
      </c>
      <c r="D19" s="98">
        <f t="shared" si="17"/>
        <v>3857.415000000009</v>
      </c>
      <c r="E19" s="50">
        <v>3097.67</v>
      </c>
      <c r="F19" s="50">
        <v>615.6</v>
      </c>
      <c r="G19" s="50">
        <v>4195.43</v>
      </c>
      <c r="H19" s="50">
        <v>834.46</v>
      </c>
      <c r="I19" s="50">
        <v>10081.05</v>
      </c>
      <c r="J19" s="50">
        <v>2004.04</v>
      </c>
      <c r="K19" s="50">
        <v>6983.35</v>
      </c>
      <c r="L19" s="50">
        <v>1388.49</v>
      </c>
      <c r="M19" s="50">
        <v>2478.14</v>
      </c>
      <c r="N19" s="50">
        <v>492.47</v>
      </c>
      <c r="O19" s="50">
        <v>0</v>
      </c>
      <c r="P19" s="51">
        <v>0</v>
      </c>
      <c r="Q19" s="50">
        <v>0</v>
      </c>
      <c r="R19" s="51">
        <v>0</v>
      </c>
      <c r="S19" s="40">
        <f t="shared" si="2"/>
        <v>26835.64</v>
      </c>
      <c r="T19" s="99">
        <f t="shared" si="3"/>
        <v>5335.06</v>
      </c>
      <c r="U19" s="41">
        <v>3160.33</v>
      </c>
      <c r="V19" s="41">
        <v>4277.67</v>
      </c>
      <c r="W19" s="41">
        <v>10282.3</v>
      </c>
      <c r="X19" s="41">
        <v>7121.62</v>
      </c>
      <c r="Y19" s="41">
        <v>2528.28</v>
      </c>
      <c r="Z19" s="122">
        <v>0</v>
      </c>
      <c r="AA19" s="122">
        <v>0</v>
      </c>
      <c r="AB19" s="119">
        <f t="shared" si="4"/>
        <v>27370.199999999997</v>
      </c>
      <c r="AC19" s="100">
        <f t="shared" si="5"/>
        <v>36562.675</v>
      </c>
      <c r="AD19" s="101">
        <f t="shared" si="6"/>
        <v>0</v>
      </c>
      <c r="AE19" s="101">
        <f t="shared" si="7"/>
        <v>0</v>
      </c>
      <c r="AF19" s="101">
        <f>'[3]Т06-09'!$I$8+'[3]Т06-09'!$I$37</f>
        <v>1899.99411</v>
      </c>
      <c r="AG19" s="28">
        <f t="shared" si="18"/>
        <v>2499.06</v>
      </c>
      <c r="AH19" s="28">
        <f>B19*0.2*1.01045</f>
        <v>841.7250590000001</v>
      </c>
      <c r="AI19" s="28">
        <f>0.85*B19</f>
        <v>3540.335</v>
      </c>
      <c r="AJ19" s="28">
        <f t="shared" si="8"/>
        <v>637.2603</v>
      </c>
      <c r="AK19" s="28">
        <f>0.83*B19</f>
        <v>3457.0330000000004</v>
      </c>
      <c r="AL19" s="28">
        <f t="shared" si="9"/>
        <v>622.26594</v>
      </c>
      <c r="AM19" s="28">
        <f>(1.91)*B19+0.01</f>
        <v>7955.351000000001</v>
      </c>
      <c r="AN19" s="28">
        <f t="shared" si="10"/>
        <v>1431.96318</v>
      </c>
      <c r="AO19" s="28"/>
      <c r="AP19" s="28">
        <f t="shared" si="11"/>
        <v>0</v>
      </c>
      <c r="AQ19" s="102"/>
      <c r="AR19" s="102">
        <f t="shared" si="11"/>
        <v>0</v>
      </c>
      <c r="AS19" s="43">
        <v>10976.36</v>
      </c>
      <c r="AT19" s="43"/>
      <c r="AU19" s="43">
        <f t="shared" si="12"/>
        <v>1975.7448</v>
      </c>
      <c r="AV19" s="103"/>
      <c r="AW19" s="128">
        <v>802</v>
      </c>
      <c r="AX19" s="28">
        <f t="shared" si="19"/>
        <v>1059.9232000000002</v>
      </c>
      <c r="AY19" s="105"/>
      <c r="AZ19" s="107"/>
      <c r="BA19" s="107">
        <f t="shared" si="15"/>
        <v>0</v>
      </c>
      <c r="BB19" s="107">
        <f t="shared" si="16"/>
        <v>34997.021478999995</v>
      </c>
      <c r="BC19" s="127">
        <f>'[3]Т06-09'!$O$8+'[3]Т06-09'!$O$37</f>
        <v>860.8927653300001</v>
      </c>
      <c r="BD19" s="38">
        <f t="shared" si="13"/>
        <v>2604.754865670007</v>
      </c>
      <c r="BE19" s="28">
        <f t="shared" si="14"/>
        <v>534.5599999999977</v>
      </c>
    </row>
    <row r="20" spans="1:57" ht="12.75">
      <c r="A20" s="11" t="s">
        <v>51</v>
      </c>
      <c r="B20" s="47">
        <v>4164.9</v>
      </c>
      <c r="C20" s="113">
        <f t="shared" si="1"/>
        <v>36026.384999999995</v>
      </c>
      <c r="D20" s="98">
        <f t="shared" si="17"/>
        <v>6774.204999999998</v>
      </c>
      <c r="E20" s="50">
        <v>2762.88</v>
      </c>
      <c r="F20" s="50">
        <v>613.01</v>
      </c>
      <c r="G20" s="50">
        <v>3743.49</v>
      </c>
      <c r="H20" s="50">
        <v>830.94</v>
      </c>
      <c r="I20" s="50">
        <v>8992.93</v>
      </c>
      <c r="J20" s="50">
        <v>1995.61</v>
      </c>
      <c r="K20" s="50">
        <v>6230.06</v>
      </c>
      <c r="L20" s="50">
        <v>1382.64</v>
      </c>
      <c r="M20" s="50">
        <v>2210.22</v>
      </c>
      <c r="N20" s="50">
        <v>490.4</v>
      </c>
      <c r="O20" s="50">
        <v>0</v>
      </c>
      <c r="P20" s="51">
        <v>0</v>
      </c>
      <c r="Q20" s="50">
        <v>0</v>
      </c>
      <c r="R20" s="51">
        <v>0</v>
      </c>
      <c r="S20" s="40">
        <f t="shared" si="2"/>
        <v>23939.58</v>
      </c>
      <c r="T20" s="99">
        <f t="shared" si="3"/>
        <v>5312.6</v>
      </c>
      <c r="U20" s="41">
        <v>2949.96</v>
      </c>
      <c r="V20" s="41">
        <v>3995.09</v>
      </c>
      <c r="W20" s="41">
        <v>9600.03</v>
      </c>
      <c r="X20" s="41">
        <v>6650</v>
      </c>
      <c r="Y20" s="41">
        <v>2359.89</v>
      </c>
      <c r="Z20" s="122">
        <v>0</v>
      </c>
      <c r="AA20" s="122">
        <v>0</v>
      </c>
      <c r="AB20" s="119">
        <f t="shared" si="4"/>
        <v>25554.97</v>
      </c>
      <c r="AC20" s="100">
        <f t="shared" si="5"/>
        <v>37641.775</v>
      </c>
      <c r="AD20" s="101">
        <f t="shared" si="6"/>
        <v>0</v>
      </c>
      <c r="AE20" s="101">
        <f t="shared" si="7"/>
        <v>0</v>
      </c>
      <c r="AF20" s="101">
        <f>'[4]Т07-09'!$I$8+'[4]Т07-09'!$I$38</f>
        <v>1899.99411</v>
      </c>
      <c r="AG20" s="28">
        <f t="shared" si="18"/>
        <v>2498.9399999999996</v>
      </c>
      <c r="AH20" s="28">
        <f>B20*0.2*0.99425</f>
        <v>828.190365</v>
      </c>
      <c r="AI20" s="28">
        <f>0.85*B20*0.9857</f>
        <v>3489.5406404999994</v>
      </c>
      <c r="AJ20" s="28">
        <f t="shared" si="8"/>
        <v>628.1173152899999</v>
      </c>
      <c r="AK20" s="28">
        <f>0.83*B20*0.9905</f>
        <v>3424.0267635</v>
      </c>
      <c r="AL20" s="28">
        <f t="shared" si="9"/>
        <v>616.3248174299999</v>
      </c>
      <c r="AM20" s="28">
        <f>(1.91)*B20*0.9904</f>
        <v>7878.591393599999</v>
      </c>
      <c r="AN20" s="28">
        <f t="shared" si="10"/>
        <v>1418.1464508479996</v>
      </c>
      <c r="AO20" s="28"/>
      <c r="AP20" s="28">
        <f t="shared" si="11"/>
        <v>0</v>
      </c>
      <c r="AQ20" s="102"/>
      <c r="AR20" s="102">
        <f t="shared" si="11"/>
        <v>0</v>
      </c>
      <c r="AS20" s="43">
        <f>15659.33</f>
        <v>15659.33</v>
      </c>
      <c r="AT20" s="43">
        <f>641.53*2+183.9*4</f>
        <v>2018.6599999999999</v>
      </c>
      <c r="AU20" s="43">
        <f t="shared" si="12"/>
        <v>3182.0381999999995</v>
      </c>
      <c r="AV20" s="103"/>
      <c r="AW20" s="128">
        <v>597</v>
      </c>
      <c r="AX20" s="28">
        <f t="shared" si="19"/>
        <v>788.9952000000001</v>
      </c>
      <c r="AY20" s="105"/>
      <c r="AZ20" s="107"/>
      <c r="BA20" s="107">
        <f t="shared" si="15"/>
        <v>0</v>
      </c>
      <c r="BB20" s="107">
        <f t="shared" si="16"/>
        <v>42430.90114616799</v>
      </c>
      <c r="BC20" s="120">
        <f>'[3]Т07-09'!$O$8+'[3]Т07-09'!$O$38</f>
        <v>897.8599976700001</v>
      </c>
      <c r="BD20" s="38">
        <f t="shared" si="13"/>
        <v>-3786.99203383799</v>
      </c>
      <c r="BE20" s="28">
        <f t="shared" si="14"/>
        <v>1615.3899999999994</v>
      </c>
    </row>
    <row r="21" spans="1:57" ht="12.75">
      <c r="A21" s="11" t="s">
        <v>52</v>
      </c>
      <c r="B21" s="47">
        <v>4164.9</v>
      </c>
      <c r="C21" s="113">
        <f t="shared" si="1"/>
        <v>36026.384999999995</v>
      </c>
      <c r="D21" s="98">
        <f t="shared" si="17"/>
        <v>3302.9749999999904</v>
      </c>
      <c r="E21" s="50">
        <v>3178.3</v>
      </c>
      <c r="F21" s="50">
        <v>612.9</v>
      </c>
      <c r="G21" s="50">
        <v>4304.85</v>
      </c>
      <c r="H21" s="50">
        <v>830.79</v>
      </c>
      <c r="I21" s="50">
        <v>10343.59</v>
      </c>
      <c r="J21" s="50">
        <v>1995.25</v>
      </c>
      <c r="K21" s="50">
        <v>7115.13</v>
      </c>
      <c r="L21" s="50">
        <v>1382.4</v>
      </c>
      <c r="M21" s="50">
        <v>2469.89</v>
      </c>
      <c r="N21" s="50">
        <v>490.31</v>
      </c>
      <c r="O21" s="50">
        <v>0</v>
      </c>
      <c r="P21" s="51">
        <v>0</v>
      </c>
      <c r="Q21" s="41">
        <v>0</v>
      </c>
      <c r="R21" s="41">
        <v>0</v>
      </c>
      <c r="S21" s="40">
        <f t="shared" si="2"/>
        <v>27411.760000000002</v>
      </c>
      <c r="T21" s="99">
        <f t="shared" si="3"/>
        <v>5311.65</v>
      </c>
      <c r="U21" s="41">
        <v>2908.77</v>
      </c>
      <c r="V21" s="41">
        <v>3939.14</v>
      </c>
      <c r="W21" s="41">
        <v>9465.93</v>
      </c>
      <c r="X21" s="41">
        <v>6507.07</v>
      </c>
      <c r="Y21" s="41">
        <v>2254.33</v>
      </c>
      <c r="Z21" s="122">
        <v>0</v>
      </c>
      <c r="AA21" s="122">
        <v>0</v>
      </c>
      <c r="AB21" s="119">
        <f t="shared" si="4"/>
        <v>25075.239999999998</v>
      </c>
      <c r="AC21" s="100">
        <f t="shared" si="5"/>
        <v>33689.86499999999</v>
      </c>
      <c r="AD21" s="101">
        <f t="shared" si="6"/>
        <v>0</v>
      </c>
      <c r="AE21" s="101">
        <f t="shared" si="7"/>
        <v>0</v>
      </c>
      <c r="AF21" s="101">
        <f>'[4]Т08-09'!$I$8+'[4]Т08-09'!$I$38+'[4]Т08-09'!$I$53</f>
        <v>3271.93819</v>
      </c>
      <c r="AG21" s="28">
        <f t="shared" si="18"/>
        <v>2498.9399999999996</v>
      </c>
      <c r="AH21" s="28">
        <f>B21*0.2*0.99875</f>
        <v>831.9387750000001</v>
      </c>
      <c r="AI21" s="28">
        <f>0.85*B21*0.98526</f>
        <v>3487.9829678999995</v>
      </c>
      <c r="AJ21" s="28">
        <f t="shared" si="8"/>
        <v>627.8369342219999</v>
      </c>
      <c r="AK21" s="28">
        <f>0.83*B21*0.99</f>
        <v>3422.2983299999996</v>
      </c>
      <c r="AL21" s="28">
        <f t="shared" si="9"/>
        <v>616.0136994</v>
      </c>
      <c r="AM21" s="28">
        <f>(1.91)*B21*0.99</f>
        <v>7875.409409999999</v>
      </c>
      <c r="AN21" s="28">
        <f t="shared" si="10"/>
        <v>1417.5736937999998</v>
      </c>
      <c r="AO21" s="28"/>
      <c r="AP21" s="28">
        <f t="shared" si="11"/>
        <v>0</v>
      </c>
      <c r="AQ21" s="102">
        <f>889.21+14710.8</f>
        <v>15600.009999999998</v>
      </c>
      <c r="AR21" s="102">
        <f t="shared" si="11"/>
        <v>2808.0017999999995</v>
      </c>
      <c r="AS21" s="43">
        <v>1271</v>
      </c>
      <c r="AT21" s="43"/>
      <c r="AU21" s="43">
        <f t="shared" si="12"/>
        <v>228.78</v>
      </c>
      <c r="AV21" s="103"/>
      <c r="AW21" s="128">
        <v>568</v>
      </c>
      <c r="AX21" s="28">
        <f t="shared" si="19"/>
        <v>750.6688</v>
      </c>
      <c r="AY21" s="105"/>
      <c r="AZ21" s="107"/>
      <c r="BA21" s="107">
        <f t="shared" si="15"/>
        <v>0</v>
      </c>
      <c r="BB21" s="107">
        <f t="shared" si="16"/>
        <v>41436.454410321996</v>
      </c>
      <c r="BC21" s="120">
        <f>'[3]Т08-09'!$O$8+'[3]Т08-09'!$O$38+'[3]Т08-09'!$O$53</f>
        <v>1445.4192869190001</v>
      </c>
      <c r="BD21" s="38">
        <f t="shared" si="13"/>
        <v>-5920.070507241005</v>
      </c>
      <c r="BE21" s="28">
        <f t="shared" si="14"/>
        <v>-2336.520000000004</v>
      </c>
    </row>
    <row r="22" spans="1:57" ht="12.75">
      <c r="A22" s="11" t="s">
        <v>53</v>
      </c>
      <c r="B22" s="39">
        <v>4164.9</v>
      </c>
      <c r="C22" s="113">
        <f t="shared" si="1"/>
        <v>36026.384999999995</v>
      </c>
      <c r="D22" s="98">
        <f t="shared" si="17"/>
        <v>3284.5549999999903</v>
      </c>
      <c r="E22" s="48">
        <v>3171.68</v>
      </c>
      <c r="F22" s="48">
        <v>607.47</v>
      </c>
      <c r="G22" s="48">
        <v>4295.84</v>
      </c>
      <c r="H22" s="48">
        <v>823.41</v>
      </c>
      <c r="I22" s="48">
        <v>10322.12</v>
      </c>
      <c r="J22" s="48">
        <v>1977.51</v>
      </c>
      <c r="K22" s="48">
        <v>7150.39</v>
      </c>
      <c r="L22" s="48">
        <v>1370.13</v>
      </c>
      <c r="M22" s="48">
        <v>2537.31</v>
      </c>
      <c r="N22" s="48">
        <v>485.97</v>
      </c>
      <c r="O22" s="48">
        <v>0</v>
      </c>
      <c r="P22" s="49">
        <v>0</v>
      </c>
      <c r="Q22" s="48">
        <v>0</v>
      </c>
      <c r="R22" s="49">
        <v>0</v>
      </c>
      <c r="S22" s="40">
        <f t="shared" si="2"/>
        <v>27477.34</v>
      </c>
      <c r="T22" s="99">
        <f t="shared" si="3"/>
        <v>5264.490000000001</v>
      </c>
      <c r="U22" s="40">
        <v>2974.29</v>
      </c>
      <c r="V22" s="40">
        <v>4026.84</v>
      </c>
      <c r="W22" s="40">
        <v>9677.34</v>
      </c>
      <c r="X22" s="40">
        <v>6703.11</v>
      </c>
      <c r="Y22" s="40">
        <v>2379.32</v>
      </c>
      <c r="Z22" s="45">
        <v>0</v>
      </c>
      <c r="AA22" s="45">
        <v>0</v>
      </c>
      <c r="AB22" s="119">
        <f t="shared" si="4"/>
        <v>25760.9</v>
      </c>
      <c r="AC22" s="100">
        <f t="shared" si="5"/>
        <v>34309.94499999999</v>
      </c>
      <c r="AD22" s="101">
        <f t="shared" si="6"/>
        <v>0</v>
      </c>
      <c r="AE22" s="101">
        <f t="shared" si="7"/>
        <v>0</v>
      </c>
      <c r="AF22" s="101">
        <f>'[4]Т08-09'!$I$8+'[4]Т08-09'!$I$38+'[4]Т08-09'!$I$53</f>
        <v>3271.93819</v>
      </c>
      <c r="AG22" s="28">
        <f t="shared" si="18"/>
        <v>2498.9399999999996</v>
      </c>
      <c r="AH22" s="28">
        <f>B22*0.2*0.9997</f>
        <v>832.7301060000001</v>
      </c>
      <c r="AI22" s="28">
        <f>0.85*B22*0.98509</f>
        <v>3487.3811398499997</v>
      </c>
      <c r="AJ22" s="28">
        <f t="shared" si="8"/>
        <v>627.7286051729999</v>
      </c>
      <c r="AK22" s="28">
        <f>0.83*B22*0.98981</f>
        <v>3421.6415252699994</v>
      </c>
      <c r="AL22" s="28">
        <f t="shared" si="9"/>
        <v>615.8954745485999</v>
      </c>
      <c r="AM22" s="28">
        <f>(1.91)*B22*0.98981</f>
        <v>7873.897967789999</v>
      </c>
      <c r="AN22" s="28">
        <f t="shared" si="10"/>
        <v>1417.3016342021997</v>
      </c>
      <c r="AO22" s="28"/>
      <c r="AP22" s="28">
        <f t="shared" si="11"/>
        <v>0</v>
      </c>
      <c r="AQ22" s="102"/>
      <c r="AR22" s="102">
        <f t="shared" si="11"/>
        <v>0</v>
      </c>
      <c r="AS22" s="43"/>
      <c r="AT22" s="43"/>
      <c r="AU22" s="43">
        <f t="shared" si="12"/>
        <v>0</v>
      </c>
      <c r="AV22" s="103"/>
      <c r="AW22" s="128">
        <v>889</v>
      </c>
      <c r="AX22" s="28">
        <f t="shared" si="19"/>
        <v>1174.9024</v>
      </c>
      <c r="AY22" s="105"/>
      <c r="AZ22" s="107"/>
      <c r="BA22" s="107">
        <f t="shared" si="15"/>
        <v>0</v>
      </c>
      <c r="BB22" s="107">
        <f t="shared" si="16"/>
        <v>21950.418852833795</v>
      </c>
      <c r="BC22" s="120">
        <f>'[3]Т09-09'!$O$8+'[3]Т09-09'!$O$38+'[3]Т09-09'!$O$53</f>
        <v>1445.2006758651</v>
      </c>
      <c r="BD22" s="38">
        <f t="shared" si="13"/>
        <v>14186.263661301098</v>
      </c>
      <c r="BE22" s="28">
        <f t="shared" si="14"/>
        <v>-1716.4399999999987</v>
      </c>
    </row>
    <row r="23" spans="1:57" ht="12.75">
      <c r="A23" s="29" t="s">
        <v>41</v>
      </c>
      <c r="B23" s="39">
        <v>4164.9</v>
      </c>
      <c r="C23" s="97">
        <f t="shared" si="1"/>
        <v>36026.384999999995</v>
      </c>
      <c r="D23" s="98">
        <f t="shared" si="17"/>
        <v>3274.9249999999984</v>
      </c>
      <c r="E23" s="44">
        <f>3177.72-6.19</f>
        <v>3171.5299999999997</v>
      </c>
      <c r="F23" s="40">
        <v>608.73</v>
      </c>
      <c r="G23" s="40">
        <f>4303.98-8.37</f>
        <v>4295.61</v>
      </c>
      <c r="H23" s="40">
        <v>825.14</v>
      </c>
      <c r="I23" s="40">
        <f>10341.71-20.13</f>
        <v>10321.58</v>
      </c>
      <c r="J23" s="40">
        <v>1981.66</v>
      </c>
      <c r="K23" s="40">
        <f>7163.96-13.95</f>
        <v>7150.01</v>
      </c>
      <c r="L23" s="40">
        <v>1372.99</v>
      </c>
      <c r="M23" s="40">
        <f>2542.16-4.92</f>
        <v>2537.24</v>
      </c>
      <c r="N23" s="40">
        <v>486.97</v>
      </c>
      <c r="O23" s="40">
        <v>0</v>
      </c>
      <c r="P23" s="45">
        <v>0</v>
      </c>
      <c r="Q23" s="40">
        <v>0</v>
      </c>
      <c r="R23" s="40">
        <v>0</v>
      </c>
      <c r="S23" s="40">
        <f t="shared" si="2"/>
        <v>27475.97</v>
      </c>
      <c r="T23" s="99">
        <f t="shared" si="3"/>
        <v>5275.49</v>
      </c>
      <c r="U23" s="129">
        <f>3211.72+432.44</f>
        <v>3644.16</v>
      </c>
      <c r="V23" s="40">
        <f>4349.75+584.98</f>
        <v>4934.73</v>
      </c>
      <c r="W23" s="40">
        <f>10452.5+1406.64</f>
        <v>11859.14</v>
      </c>
      <c r="X23" s="40">
        <f>7240.67+974.21</f>
        <v>8214.880000000001</v>
      </c>
      <c r="Y23" s="40">
        <f>2569.35+345.94</f>
        <v>2915.29</v>
      </c>
      <c r="Z23" s="45">
        <v>0</v>
      </c>
      <c r="AA23" s="45">
        <v>0</v>
      </c>
      <c r="AB23" s="45">
        <f>SUM(U23:AA23)</f>
        <v>31568.2</v>
      </c>
      <c r="AC23" s="100">
        <f>AB23+T23+D23</f>
        <v>40118.615</v>
      </c>
      <c r="AD23" s="101">
        <f t="shared" si="6"/>
        <v>0</v>
      </c>
      <c r="AE23" s="101">
        <f t="shared" si="7"/>
        <v>0</v>
      </c>
      <c r="AF23" s="101">
        <f>'[2]Т10'!$I$8+'[2]Т10'!$I$39+'[2]Т10'!$I$55+'[2]Т10'!$I$105+'[2]Т10'!$I$111</f>
        <v>4410.06707</v>
      </c>
      <c r="AG23" s="28">
        <f t="shared" si="18"/>
        <v>2498.9399999999996</v>
      </c>
      <c r="AH23" s="28">
        <f>B23*0.2</f>
        <v>832.98</v>
      </c>
      <c r="AI23" s="28">
        <f>0.847*B23</f>
        <v>3527.6702999999998</v>
      </c>
      <c r="AJ23" s="28">
        <f t="shared" si="8"/>
        <v>634.980654</v>
      </c>
      <c r="AK23" s="28">
        <f>0.83*B23</f>
        <v>3456.8669999999997</v>
      </c>
      <c r="AL23" s="28">
        <f t="shared" si="9"/>
        <v>622.23606</v>
      </c>
      <c r="AM23" s="28">
        <f>(2.25/1.18)*B23</f>
        <v>7941.546610169491</v>
      </c>
      <c r="AN23" s="28">
        <f t="shared" si="10"/>
        <v>1429.4783898305084</v>
      </c>
      <c r="AO23" s="28"/>
      <c r="AP23" s="28">
        <f t="shared" si="11"/>
        <v>0</v>
      </c>
      <c r="AQ23" s="102"/>
      <c r="AR23" s="102">
        <f t="shared" si="11"/>
        <v>0</v>
      </c>
      <c r="AS23" s="43">
        <v>123.21</v>
      </c>
      <c r="AT23" s="43"/>
      <c r="AU23" s="43">
        <f t="shared" si="12"/>
        <v>22.177799999999998</v>
      </c>
      <c r="AV23" s="103"/>
      <c r="AW23" s="104">
        <v>811</v>
      </c>
      <c r="AX23" s="28">
        <f t="shared" si="19"/>
        <v>1071.8176</v>
      </c>
      <c r="AY23" s="105"/>
      <c r="AZ23" s="126"/>
      <c r="BA23" s="107">
        <f t="shared" si="15"/>
        <v>0</v>
      </c>
      <c r="BB23" s="107">
        <f>SUM(AG23:AU23)+AX23+AY23+AZ23+BA23</f>
        <v>22161.904413999993</v>
      </c>
      <c r="BC23" s="120">
        <f>'[5]Т10'!$O$8+'[5]Т10'!$O$39+'[5]Т10'!$O$55+'[5]Т10'!$O$105+'[5]Т10'!$O$111</f>
        <v>1998.2139390000002</v>
      </c>
      <c r="BD23" s="38">
        <f t="shared" si="13"/>
        <v>20368.563717</v>
      </c>
      <c r="BE23" s="28">
        <f t="shared" si="14"/>
        <v>4092.2299999999996</v>
      </c>
    </row>
    <row r="24" spans="1:57" ht="12.75">
      <c r="A24" s="11" t="s">
        <v>42</v>
      </c>
      <c r="B24" s="47">
        <v>4164.9</v>
      </c>
      <c r="C24" s="97">
        <f t="shared" si="1"/>
        <v>36026.384999999995</v>
      </c>
      <c r="D24" s="98">
        <f t="shared" si="17"/>
        <v>3292.1849999999977</v>
      </c>
      <c r="E24" s="48">
        <v>3152.12</v>
      </c>
      <c r="F24" s="48">
        <v>626.12</v>
      </c>
      <c r="G24" s="48">
        <v>4269.44</v>
      </c>
      <c r="H24" s="48">
        <v>848.67</v>
      </c>
      <c r="I24" s="48">
        <v>10258.53</v>
      </c>
      <c r="J24" s="48">
        <v>2038.21</v>
      </c>
      <c r="K24" s="48">
        <v>7106.34</v>
      </c>
      <c r="L24" s="48">
        <v>1412.19</v>
      </c>
      <c r="M24" s="48">
        <v>2521.69</v>
      </c>
      <c r="N24" s="48">
        <v>500.89</v>
      </c>
      <c r="O24" s="48">
        <v>0</v>
      </c>
      <c r="P24" s="49">
        <v>0</v>
      </c>
      <c r="Q24" s="49">
        <v>0</v>
      </c>
      <c r="R24" s="49">
        <v>0</v>
      </c>
      <c r="S24" s="40">
        <f t="shared" si="2"/>
        <v>27308.12</v>
      </c>
      <c r="T24" s="99">
        <f t="shared" si="3"/>
        <v>5426.08</v>
      </c>
      <c r="U24" s="40">
        <v>3216.14</v>
      </c>
      <c r="V24" s="40">
        <v>4008.15</v>
      </c>
      <c r="W24" s="40">
        <v>9631.73</v>
      </c>
      <c r="X24" s="40">
        <v>6671.97</v>
      </c>
      <c r="Y24" s="40">
        <v>2367.8</v>
      </c>
      <c r="Z24" s="45">
        <v>0</v>
      </c>
      <c r="AA24" s="45">
        <v>0</v>
      </c>
      <c r="AB24" s="45">
        <f>SUM(U24:AA24)</f>
        <v>25895.79</v>
      </c>
      <c r="AC24" s="100">
        <f>D24+T24+AB24</f>
        <v>34614.055</v>
      </c>
      <c r="AD24" s="101">
        <f t="shared" si="6"/>
        <v>0</v>
      </c>
      <c r="AE24" s="101">
        <f t="shared" si="7"/>
        <v>0</v>
      </c>
      <c r="AF24" s="101">
        <f>'[2]Т11'!$I$8+'[2]Т11'!$I$39+'[2]Т11'!$I$55+'[2]Т11'!$I$105+'[2]Т11'!$I$111</f>
        <v>4410.077069999999</v>
      </c>
      <c r="AG24" s="28">
        <f t="shared" si="18"/>
        <v>2498.9399999999996</v>
      </c>
      <c r="AH24" s="28">
        <f>B24*0.2</f>
        <v>832.98</v>
      </c>
      <c r="AI24" s="28">
        <f>0.85*B24</f>
        <v>3540.1649999999995</v>
      </c>
      <c r="AJ24" s="28">
        <f t="shared" si="8"/>
        <v>637.2296999999999</v>
      </c>
      <c r="AK24" s="28">
        <f>0.83*B24</f>
        <v>3456.8669999999997</v>
      </c>
      <c r="AL24" s="28">
        <f t="shared" si="9"/>
        <v>622.23606</v>
      </c>
      <c r="AM24" s="28">
        <f>(1.91)*B24</f>
        <v>7954.958999999999</v>
      </c>
      <c r="AN24" s="28">
        <f t="shared" si="10"/>
        <v>1431.8926199999999</v>
      </c>
      <c r="AO24" s="28"/>
      <c r="AP24" s="28">
        <f t="shared" si="11"/>
        <v>0</v>
      </c>
      <c r="AQ24" s="102"/>
      <c r="AR24" s="102">
        <f t="shared" si="11"/>
        <v>0</v>
      </c>
      <c r="AS24" s="43">
        <v>4353</v>
      </c>
      <c r="AT24" s="43">
        <f>112</f>
        <v>112</v>
      </c>
      <c r="AU24" s="43">
        <f t="shared" si="12"/>
        <v>803.6999999999999</v>
      </c>
      <c r="AV24" s="103"/>
      <c r="AW24" s="104">
        <v>874</v>
      </c>
      <c r="AX24" s="28">
        <f t="shared" si="19"/>
        <v>1155.0784</v>
      </c>
      <c r="AY24" s="105"/>
      <c r="AZ24" s="106">
        <v>10000</v>
      </c>
      <c r="BA24" s="107">
        <f t="shared" si="15"/>
        <v>1800</v>
      </c>
      <c r="BB24" s="107">
        <f>SUM(AG24:AU24)+AX24+AY24+AZ24+BA24</f>
        <v>39199.04777999999</v>
      </c>
      <c r="BC24" s="108">
        <f>'[2]Т11'!$O$8+'[2]Т11'!$O$39+'[2]Т11'!$O$55+'[2]Т11'!$O$105+'[2]Т11'!$O$111</f>
        <v>2001.0138299999999</v>
      </c>
      <c r="BD24" s="38">
        <f t="shared" si="13"/>
        <v>-2175.9295399999937</v>
      </c>
      <c r="BE24" s="28">
        <f t="shared" si="14"/>
        <v>-1412.329999999998</v>
      </c>
    </row>
    <row r="25" spans="1:57" ht="12.75">
      <c r="A25" s="11" t="s">
        <v>43</v>
      </c>
      <c r="B25" s="39">
        <v>4164.9</v>
      </c>
      <c r="C25" s="97">
        <f t="shared" si="1"/>
        <v>36026.384999999995</v>
      </c>
      <c r="D25" s="98">
        <f t="shared" si="17"/>
        <v>3339.554999999995</v>
      </c>
      <c r="E25" s="48">
        <v>3122.76</v>
      </c>
      <c r="F25" s="48">
        <v>649.96</v>
      </c>
      <c r="G25" s="48">
        <v>4229.73</v>
      </c>
      <c r="H25" s="48">
        <v>881.03</v>
      </c>
      <c r="I25" s="48">
        <v>10163.04</v>
      </c>
      <c r="J25" s="48">
        <v>2115.9</v>
      </c>
      <c r="K25" s="48">
        <v>7040.24</v>
      </c>
      <c r="L25" s="48">
        <v>1466</v>
      </c>
      <c r="M25" s="48">
        <v>2498.21</v>
      </c>
      <c r="N25" s="48">
        <v>519.96</v>
      </c>
      <c r="O25" s="48">
        <v>0</v>
      </c>
      <c r="P25" s="49">
        <v>0</v>
      </c>
      <c r="Q25" s="49"/>
      <c r="R25" s="49"/>
      <c r="S25" s="40">
        <f t="shared" si="2"/>
        <v>27053.979999999996</v>
      </c>
      <c r="T25" s="99">
        <f t="shared" si="3"/>
        <v>5632.85</v>
      </c>
      <c r="U25" s="40">
        <v>3915.3</v>
      </c>
      <c r="V25" s="40">
        <v>5330.7</v>
      </c>
      <c r="W25" s="40">
        <v>12809.75</v>
      </c>
      <c r="X25" s="40">
        <v>8873.32</v>
      </c>
      <c r="Y25" s="40">
        <v>3149.07</v>
      </c>
      <c r="Z25" s="45">
        <v>0</v>
      </c>
      <c r="AA25" s="45">
        <v>0</v>
      </c>
      <c r="AB25" s="45">
        <f>SUM(U25:AA25)</f>
        <v>34078.14</v>
      </c>
      <c r="AC25" s="100">
        <f>D25+T25+AB25</f>
        <v>43050.545</v>
      </c>
      <c r="AD25" s="101">
        <f t="shared" si="6"/>
        <v>0</v>
      </c>
      <c r="AE25" s="101">
        <f t="shared" si="7"/>
        <v>0</v>
      </c>
      <c r="AF25" s="101">
        <f>'[2]Т12'!$I$8+'[2]Т12'!$I$39+'[2]Т12'!$I$47+'[2]Т12'!$I$56+'[2]Т12'!$I$106+'[2]Т12'!$I$113</f>
        <v>4902.25091</v>
      </c>
      <c r="AG25" s="28">
        <f t="shared" si="18"/>
        <v>2498.9399999999996</v>
      </c>
      <c r="AH25" s="28">
        <f>B25*0.2</f>
        <v>832.98</v>
      </c>
      <c r="AI25" s="28">
        <f>0.85*B25</f>
        <v>3540.1649999999995</v>
      </c>
      <c r="AJ25" s="28">
        <f t="shared" si="8"/>
        <v>637.2296999999999</v>
      </c>
      <c r="AK25" s="28">
        <f>0.83*B25</f>
        <v>3456.8669999999997</v>
      </c>
      <c r="AL25" s="28">
        <f t="shared" si="9"/>
        <v>622.23606</v>
      </c>
      <c r="AM25" s="28">
        <f>(1.91)*B25</f>
        <v>7954.958999999999</v>
      </c>
      <c r="AN25" s="28">
        <f t="shared" si="10"/>
        <v>1431.8926199999999</v>
      </c>
      <c r="AO25" s="28"/>
      <c r="AP25" s="28">
        <f t="shared" si="11"/>
        <v>0</v>
      </c>
      <c r="AQ25" s="102"/>
      <c r="AR25" s="102">
        <f t="shared" si="11"/>
        <v>0</v>
      </c>
      <c r="AS25" s="43">
        <v>4285</v>
      </c>
      <c r="AT25" s="43">
        <f>640+200+2261.27</f>
        <v>3101.27</v>
      </c>
      <c r="AU25" s="43">
        <f t="shared" si="12"/>
        <v>1329.5286</v>
      </c>
      <c r="AV25" s="103"/>
      <c r="AW25" s="104">
        <v>1072</v>
      </c>
      <c r="AX25" s="28">
        <f t="shared" si="19"/>
        <v>1416.7552</v>
      </c>
      <c r="AY25" s="105"/>
      <c r="AZ25" s="106">
        <v>26000</v>
      </c>
      <c r="BA25" s="107">
        <f t="shared" si="15"/>
        <v>4680</v>
      </c>
      <c r="BB25" s="107">
        <f>SUM(AG25:BA25)-AV25-AW25</f>
        <v>61787.82318</v>
      </c>
      <c r="BC25" s="108">
        <f>'[2]Т12'!$O$8+'[2]Т12'!$O$39+'[2]Т12'!$O$47+'[2]Т12'!$O$56+'[2]Т12'!$O$106+'[2]Т12'!$O$113</f>
        <v>2235.59559</v>
      </c>
      <c r="BD25" s="38">
        <f t="shared" si="13"/>
        <v>-16070.62286</v>
      </c>
      <c r="BE25" s="28">
        <f t="shared" si="14"/>
        <v>7024.1600000000035</v>
      </c>
    </row>
    <row r="26" spans="1:57" s="25" customFormat="1" ht="12.75">
      <c r="A26" s="20" t="s">
        <v>5</v>
      </c>
      <c r="B26" s="21"/>
      <c r="C26" s="21">
        <f aca="true" t="shared" si="20" ref="C26:BB26">SUM(C14:C25)</f>
        <v>432327.00000000006</v>
      </c>
      <c r="D26" s="21">
        <f t="shared" si="20"/>
        <v>48497.05749999998</v>
      </c>
      <c r="E26" s="22">
        <f t="shared" si="20"/>
        <v>36312.82000000001</v>
      </c>
      <c r="F26" s="22">
        <f t="shared" si="20"/>
        <v>7083.91</v>
      </c>
      <c r="G26" s="22">
        <f t="shared" si="20"/>
        <v>49134.70999999999</v>
      </c>
      <c r="H26" s="22">
        <f t="shared" si="20"/>
        <v>9590.400000000001</v>
      </c>
      <c r="I26" s="22">
        <f t="shared" si="20"/>
        <v>118129.15</v>
      </c>
      <c r="J26" s="22">
        <f t="shared" si="20"/>
        <v>23049.34</v>
      </c>
      <c r="K26" s="22">
        <f t="shared" si="20"/>
        <v>81765.98</v>
      </c>
      <c r="L26" s="22">
        <f t="shared" si="20"/>
        <v>15965.91</v>
      </c>
      <c r="M26" s="22">
        <f t="shared" si="20"/>
        <v>28977.44</v>
      </c>
      <c r="N26" s="22">
        <f t="shared" si="20"/>
        <v>5666.9800000000005</v>
      </c>
      <c r="O26" s="22">
        <f t="shared" si="20"/>
        <v>0</v>
      </c>
      <c r="P26" s="22">
        <f t="shared" si="20"/>
        <v>0</v>
      </c>
      <c r="Q26" s="22">
        <f t="shared" si="20"/>
        <v>0</v>
      </c>
      <c r="R26" s="22">
        <f t="shared" si="20"/>
        <v>0</v>
      </c>
      <c r="S26" s="22">
        <f t="shared" si="20"/>
        <v>314320.1</v>
      </c>
      <c r="T26" s="22">
        <f t="shared" si="20"/>
        <v>61356.54</v>
      </c>
      <c r="U26" s="23">
        <f t="shared" si="20"/>
        <v>35125.850000000006</v>
      </c>
      <c r="V26" s="23">
        <f t="shared" si="20"/>
        <v>47194.700000000004</v>
      </c>
      <c r="W26" s="23">
        <f t="shared" si="20"/>
        <v>113486.13</v>
      </c>
      <c r="X26" s="23">
        <f t="shared" si="20"/>
        <v>78545.23999999999</v>
      </c>
      <c r="Y26" s="23">
        <f t="shared" si="20"/>
        <v>27839.55</v>
      </c>
      <c r="Z26" s="23">
        <f t="shared" si="20"/>
        <v>0</v>
      </c>
      <c r="AA26" s="23">
        <f t="shared" si="20"/>
        <v>0</v>
      </c>
      <c r="AB26" s="23">
        <f t="shared" si="20"/>
        <v>302191.47</v>
      </c>
      <c r="AC26" s="23">
        <f t="shared" si="20"/>
        <v>412045.06749999995</v>
      </c>
      <c r="AD26" s="59">
        <f t="shared" si="20"/>
        <v>0</v>
      </c>
      <c r="AE26" s="59">
        <f t="shared" si="20"/>
        <v>0</v>
      </c>
      <c r="AF26" s="59"/>
      <c r="AG26" s="24">
        <f t="shared" si="20"/>
        <v>28988.375999999993</v>
      </c>
      <c r="AH26" s="24">
        <f t="shared" si="20"/>
        <v>9705.307963000001</v>
      </c>
      <c r="AI26" s="24">
        <f t="shared" si="20"/>
        <v>40523.131504749996</v>
      </c>
      <c r="AJ26" s="24">
        <f t="shared" si="20"/>
        <v>7294.1636708549995</v>
      </c>
      <c r="AK26" s="24">
        <f t="shared" si="20"/>
        <v>39392.280237169995</v>
      </c>
      <c r="AL26" s="24">
        <f t="shared" si="20"/>
        <v>7090.6104426906</v>
      </c>
      <c r="AM26" s="24">
        <f t="shared" si="20"/>
        <v>90636.2927724595</v>
      </c>
      <c r="AN26" s="24">
        <f t="shared" si="20"/>
        <v>16314.53269904271</v>
      </c>
      <c r="AO26" s="24">
        <f t="shared" si="20"/>
        <v>0</v>
      </c>
      <c r="AP26" s="24">
        <f t="shared" si="20"/>
        <v>0</v>
      </c>
      <c r="AQ26" s="24">
        <f>SUM(AQ14:AQ25)</f>
        <v>35355.282999999996</v>
      </c>
      <c r="AR26" s="24">
        <f>SUM(AR14:AR25)</f>
        <v>6363.950939999999</v>
      </c>
      <c r="AS26" s="37">
        <f t="shared" si="20"/>
        <v>71846.70999999999</v>
      </c>
      <c r="AT26" s="37">
        <f t="shared" si="20"/>
        <v>10367.93</v>
      </c>
      <c r="AU26" s="37">
        <f t="shared" si="20"/>
        <v>14798.645199999999</v>
      </c>
      <c r="AV26" s="24"/>
      <c r="AW26" s="24"/>
      <c r="AX26" s="24">
        <f t="shared" si="20"/>
        <v>17730.585600000002</v>
      </c>
      <c r="AY26" s="24">
        <f t="shared" si="20"/>
        <v>0</v>
      </c>
      <c r="AZ26" s="24">
        <f t="shared" si="20"/>
        <v>36000</v>
      </c>
      <c r="BA26" s="24">
        <f t="shared" si="20"/>
        <v>6480</v>
      </c>
      <c r="BB26" s="24">
        <f t="shared" si="20"/>
        <v>434703.61442996777</v>
      </c>
      <c r="BC26" s="24">
        <f>SUM(BC14:BC25)</f>
        <v>13757.1842810911</v>
      </c>
      <c r="BD26" s="46">
        <f>SUM(BD14:BD25)</f>
        <v>-5830.497841058877</v>
      </c>
      <c r="BE26" s="24">
        <f>SUM(BE14:BE25)</f>
        <v>-12128.630000000008</v>
      </c>
    </row>
    <row r="27" spans="1:57" ht="12.75">
      <c r="A27" s="130"/>
      <c r="B27" s="131"/>
      <c r="C27" s="132">
        <f>C12+C26</f>
        <v>972738.3450000002</v>
      </c>
      <c r="D27" s="132">
        <f aca="true" t="shared" si="21" ref="D27:BB27">D12+D26</f>
        <v>74513.31962264999</v>
      </c>
      <c r="E27" s="132">
        <f t="shared" si="21"/>
        <v>44884.84000000001</v>
      </c>
      <c r="F27" s="132">
        <f t="shared" si="21"/>
        <v>8677.24</v>
      </c>
      <c r="G27" s="132">
        <f t="shared" si="21"/>
        <v>60707.31999999999</v>
      </c>
      <c r="H27" s="132">
        <f t="shared" si="21"/>
        <v>11741.37</v>
      </c>
      <c r="I27" s="132">
        <f t="shared" si="21"/>
        <v>145930.78999999998</v>
      </c>
      <c r="J27" s="132">
        <f t="shared" si="21"/>
        <v>28227.68</v>
      </c>
      <c r="K27" s="132">
        <f t="shared" si="21"/>
        <v>101053.28</v>
      </c>
      <c r="L27" s="132">
        <f t="shared" si="21"/>
        <v>19550.89</v>
      </c>
      <c r="M27" s="132">
        <f t="shared" si="21"/>
        <v>35835.11</v>
      </c>
      <c r="N27" s="132">
        <f t="shared" si="21"/>
        <v>6941.59</v>
      </c>
      <c r="O27" s="132">
        <f t="shared" si="21"/>
        <v>0</v>
      </c>
      <c r="P27" s="132">
        <f t="shared" si="21"/>
        <v>0</v>
      </c>
      <c r="Q27" s="132">
        <f t="shared" si="21"/>
        <v>0</v>
      </c>
      <c r="R27" s="132">
        <f t="shared" si="21"/>
        <v>0</v>
      </c>
      <c r="S27" s="132">
        <f t="shared" si="21"/>
        <v>388411.33999999997</v>
      </c>
      <c r="T27" s="132">
        <f t="shared" si="21"/>
        <v>75138.77</v>
      </c>
      <c r="U27" s="132">
        <f t="shared" si="21"/>
        <v>39998.57000000001</v>
      </c>
      <c r="V27" s="132">
        <f t="shared" si="21"/>
        <v>53773.100000000006</v>
      </c>
      <c r="W27" s="132">
        <f t="shared" si="21"/>
        <v>129265.14000000001</v>
      </c>
      <c r="X27" s="132">
        <f t="shared" si="21"/>
        <v>89508.96999999999</v>
      </c>
      <c r="Y27" s="132">
        <f t="shared" si="21"/>
        <v>31737.75</v>
      </c>
      <c r="Z27" s="132">
        <f t="shared" si="21"/>
        <v>0</v>
      </c>
      <c r="AA27" s="132">
        <f t="shared" si="21"/>
        <v>0</v>
      </c>
      <c r="AB27" s="132">
        <f t="shared" si="21"/>
        <v>344283.52999999997</v>
      </c>
      <c r="AC27" s="132">
        <f t="shared" si="21"/>
        <v>493935.61962265</v>
      </c>
      <c r="AD27" s="132">
        <f t="shared" si="21"/>
        <v>0</v>
      </c>
      <c r="AE27" s="132">
        <f t="shared" si="21"/>
        <v>0</v>
      </c>
      <c r="AF27" s="132">
        <f t="shared" si="21"/>
        <v>0</v>
      </c>
      <c r="AG27" s="132">
        <f t="shared" si="21"/>
        <v>36485.556</v>
      </c>
      <c r="AH27" s="132">
        <f t="shared" si="21"/>
        <v>12278.090233</v>
      </c>
      <c r="AI27" s="132">
        <f t="shared" si="21"/>
        <v>51156.278596749995</v>
      </c>
      <c r="AJ27" s="132">
        <f t="shared" si="21"/>
        <v>9208.130147414999</v>
      </c>
      <c r="AK27" s="132">
        <f t="shared" si="21"/>
        <v>51765.922664289996</v>
      </c>
      <c r="AL27" s="132">
        <f t="shared" si="21"/>
        <v>9317.8660795722</v>
      </c>
      <c r="AM27" s="132">
        <f t="shared" si="21"/>
        <v>113360.9629991895</v>
      </c>
      <c r="AN27" s="132">
        <f t="shared" si="21"/>
        <v>20404.97333985411</v>
      </c>
      <c r="AO27" s="132">
        <f t="shared" si="21"/>
        <v>0</v>
      </c>
      <c r="AP27" s="132">
        <f t="shared" si="21"/>
        <v>0</v>
      </c>
      <c r="AQ27" s="132">
        <f t="shared" si="21"/>
        <v>35355.282999999996</v>
      </c>
      <c r="AR27" s="132">
        <f t="shared" si="21"/>
        <v>6363.950939999999</v>
      </c>
      <c r="AS27" s="132">
        <f t="shared" si="21"/>
        <v>119428.41999999998</v>
      </c>
      <c r="AT27" s="132">
        <f t="shared" si="21"/>
        <v>14964.93</v>
      </c>
      <c r="AU27" s="132">
        <f t="shared" si="21"/>
        <v>24190.813</v>
      </c>
      <c r="AV27" s="132">
        <f t="shared" si="21"/>
        <v>0</v>
      </c>
      <c r="AW27" s="132">
        <f t="shared" si="21"/>
        <v>0</v>
      </c>
      <c r="AX27" s="132">
        <f t="shared" si="21"/>
        <v>17730.585600000002</v>
      </c>
      <c r="AY27" s="132">
        <f t="shared" si="21"/>
        <v>0</v>
      </c>
      <c r="AZ27" s="132">
        <f t="shared" si="21"/>
        <v>36000</v>
      </c>
      <c r="BA27" s="132">
        <f t="shared" si="21"/>
        <v>6480</v>
      </c>
      <c r="BB27" s="132">
        <f t="shared" si="21"/>
        <v>560307.5770000708</v>
      </c>
      <c r="BC27" s="132">
        <f>BC12+BC26</f>
        <v>13757.1842810911</v>
      </c>
      <c r="BD27" s="132">
        <f>BD12+BD26</f>
        <v>-49543.90828851187</v>
      </c>
      <c r="BE27" s="24">
        <f>BE12+BE26</f>
        <v>-44127.81000000001</v>
      </c>
    </row>
    <row r="28" spans="1:57" ht="15" customHeight="1">
      <c r="A28" s="5" t="s">
        <v>76</v>
      </c>
      <c r="B28" s="12"/>
      <c r="C28" s="13"/>
      <c r="D28" s="13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36"/>
      <c r="P28" s="15"/>
      <c r="Q28" s="14"/>
      <c r="R28" s="14"/>
      <c r="S28" s="14"/>
      <c r="T28" s="14"/>
      <c r="U28" s="26"/>
      <c r="V28" s="26"/>
      <c r="W28" s="26"/>
      <c r="X28" s="26"/>
      <c r="Y28" s="26"/>
      <c r="Z28" s="26"/>
      <c r="AA28" s="16"/>
      <c r="AB28" s="16"/>
      <c r="AC28" s="57"/>
      <c r="AD28" s="58"/>
      <c r="AE28" s="58"/>
      <c r="AF28" s="58"/>
      <c r="AG28" s="17"/>
      <c r="AH28" s="17"/>
      <c r="AI28" s="17"/>
      <c r="AJ28" s="17"/>
      <c r="AK28" s="17"/>
      <c r="AL28" s="17"/>
      <c r="AM28" s="17"/>
      <c r="AN28" s="17"/>
      <c r="AO28" s="18"/>
      <c r="AP28" s="18"/>
      <c r="AQ28" s="18"/>
      <c r="AR28" s="18"/>
      <c r="AS28" s="42"/>
      <c r="AT28" s="42"/>
      <c r="AU28" s="27"/>
      <c r="AV28" s="17"/>
      <c r="AW28" s="17"/>
      <c r="AX28" s="18"/>
      <c r="AY28" s="18"/>
      <c r="AZ28" s="18"/>
      <c r="BA28" s="17"/>
      <c r="BB28" s="17"/>
      <c r="BC28" s="17"/>
      <c r="BD28" s="38"/>
      <c r="BE28" s="29"/>
    </row>
    <row r="29" spans="1:57" ht="12.75">
      <c r="A29" s="11" t="s">
        <v>45</v>
      </c>
      <c r="B29" s="39">
        <v>4164.9</v>
      </c>
      <c r="C29" s="97">
        <f aca="true" t="shared" si="22" ref="C29:C40">B29*8.65</f>
        <v>36026.384999999995</v>
      </c>
      <c r="D29" s="98">
        <f aca="true" t="shared" si="23" ref="D29:D40">C29-E29-F29-G29-H29-I29-J29-K29-L29-M29-N29</f>
        <v>3311.5049999999947</v>
      </c>
      <c r="E29" s="48">
        <v>3155.48</v>
      </c>
      <c r="F29" s="48">
        <v>620.5</v>
      </c>
      <c r="G29" s="48">
        <v>4274.05</v>
      </c>
      <c r="H29" s="48">
        <v>841.1</v>
      </c>
      <c r="I29" s="48">
        <v>10269.46</v>
      </c>
      <c r="J29" s="48">
        <v>2020.01</v>
      </c>
      <c r="K29" s="48">
        <v>7113.96</v>
      </c>
      <c r="L29" s="48">
        <v>1399.57</v>
      </c>
      <c r="M29" s="48">
        <v>2524.37</v>
      </c>
      <c r="N29" s="48">
        <v>496.38</v>
      </c>
      <c r="O29" s="48">
        <v>0</v>
      </c>
      <c r="P29" s="49">
        <v>0</v>
      </c>
      <c r="Q29" s="49"/>
      <c r="R29" s="49"/>
      <c r="S29" s="40">
        <f aca="true" t="shared" si="24" ref="S29:S40">E29+G29+I29+K29+M29+O29+Q29</f>
        <v>27337.319999999996</v>
      </c>
      <c r="T29" s="99">
        <f aca="true" t="shared" si="25" ref="T29:T40">P29+N29+L29+J29+H29+F29+R29</f>
        <v>5377.56</v>
      </c>
      <c r="U29" s="40">
        <v>2330.96</v>
      </c>
      <c r="V29" s="40">
        <v>3236.29</v>
      </c>
      <c r="W29" s="40">
        <v>7776.57</v>
      </c>
      <c r="X29" s="40">
        <v>5387.12</v>
      </c>
      <c r="Y29" s="40">
        <v>1911.57</v>
      </c>
      <c r="Z29" s="45">
        <v>0</v>
      </c>
      <c r="AA29" s="45">
        <v>0</v>
      </c>
      <c r="AB29" s="45">
        <f>SUM(U29:AA29)</f>
        <v>20642.51</v>
      </c>
      <c r="AC29" s="100">
        <f aca="true" t="shared" si="26" ref="AC29:AC40">D29+T29+AB29</f>
        <v>29331.574999999993</v>
      </c>
      <c r="AD29" s="101">
        <f aca="true" t="shared" si="27" ref="AD29:AD40">P29+Z29</f>
        <v>0</v>
      </c>
      <c r="AE29" s="101">
        <f aca="true" t="shared" si="28" ref="AE29:AE40">R29+AA29</f>
        <v>0</v>
      </c>
      <c r="AF29" s="101">
        <f>'[1]Т01-10'!$I$8+'[1]Т01-10'!$I$37+'[1]Т01-10'!$I$53+'[1]Т01-10'!$I$103+'[1]Т01-10'!$I$110</f>
        <v>4410.077069999999</v>
      </c>
      <c r="AG29" s="28">
        <f aca="true" t="shared" si="29" ref="AG29:AG40">0.6*B29</f>
        <v>2498.9399999999996</v>
      </c>
      <c r="AH29" s="28">
        <f aca="true" t="shared" si="30" ref="AH29:AH40">B29*0.2</f>
        <v>832.98</v>
      </c>
      <c r="AI29" s="28">
        <f aca="true" t="shared" si="31" ref="AI29:AI40">1*B29</f>
        <v>4164.9</v>
      </c>
      <c r="AJ29" s="28">
        <v>0</v>
      </c>
      <c r="AK29" s="28">
        <f aca="true" t="shared" si="32" ref="AK29:AK40">0.98*B29</f>
        <v>4081.6019999999994</v>
      </c>
      <c r="AL29" s="28">
        <v>0</v>
      </c>
      <c r="AM29" s="28">
        <f aca="true" t="shared" si="33" ref="AM29:AM40">2.25*B29</f>
        <v>9371.025</v>
      </c>
      <c r="AN29" s="28">
        <v>0</v>
      </c>
      <c r="AO29" s="28"/>
      <c r="AP29" s="28">
        <v>0</v>
      </c>
      <c r="AQ29" s="102"/>
      <c r="AR29" s="102"/>
      <c r="AS29" s="43">
        <v>3145</v>
      </c>
      <c r="AT29" s="43"/>
      <c r="AU29" s="43">
        <f aca="true" t="shared" si="34" ref="AU29:AU37">AT29*0.18</f>
        <v>0</v>
      </c>
      <c r="AV29" s="103"/>
      <c r="AW29" s="104">
        <v>965</v>
      </c>
      <c r="AX29" s="28">
        <f aca="true" t="shared" si="35" ref="AX29:AX40">AW29*1.4</f>
        <v>1351</v>
      </c>
      <c r="AY29" s="105"/>
      <c r="AZ29" s="106">
        <f>1700+20365</f>
        <v>22065</v>
      </c>
      <c r="BA29" s="107">
        <f aca="true" t="shared" si="36" ref="BA29:BA40">AZ29*0.18</f>
        <v>3971.7</v>
      </c>
      <c r="BB29" s="107">
        <f aca="true" t="shared" si="37" ref="BB29:BB40">SUM(AG29:BA29)-AV29-AW29</f>
        <v>51482.147</v>
      </c>
      <c r="BC29" s="108">
        <f>'[1]Т03-10'!$M$8+'[1]Т03-10'!$M$37+'[1]Т03-10'!$M$54+'[1]Т03-10'!$M$104+'[1]Т03-10'!$M$111</f>
        <v>1998.6444999999999</v>
      </c>
      <c r="BD29" s="38">
        <f>AC29+AF29-BB29-BC29</f>
        <v>-19739.13943</v>
      </c>
      <c r="BE29" s="28">
        <f>AB29-S29</f>
        <v>-6694.809999999998</v>
      </c>
    </row>
    <row r="30" spans="1:57" ht="12.75">
      <c r="A30" s="11" t="s">
        <v>46</v>
      </c>
      <c r="B30" s="47">
        <v>4164.9</v>
      </c>
      <c r="C30" s="97">
        <f t="shared" si="22"/>
        <v>36026.384999999995</v>
      </c>
      <c r="D30" s="98">
        <f t="shared" si="23"/>
        <v>3312.6549999999997</v>
      </c>
      <c r="E30" s="151">
        <v>3135.84</v>
      </c>
      <c r="F30" s="152">
        <v>639.99</v>
      </c>
      <c r="G30" s="152">
        <v>4247.46</v>
      </c>
      <c r="H30" s="152">
        <v>867.51</v>
      </c>
      <c r="I30" s="152">
        <v>10205.6</v>
      </c>
      <c r="J30" s="152">
        <v>2083.45</v>
      </c>
      <c r="K30" s="152">
        <v>7069.72</v>
      </c>
      <c r="L30" s="152">
        <v>1443.51</v>
      </c>
      <c r="M30" s="152">
        <v>2508.68</v>
      </c>
      <c r="N30" s="152">
        <v>511.97</v>
      </c>
      <c r="O30" s="152">
        <v>0</v>
      </c>
      <c r="P30" s="153">
        <v>0</v>
      </c>
      <c r="Q30" s="153">
        <v>0</v>
      </c>
      <c r="R30" s="153">
        <v>0</v>
      </c>
      <c r="S30" s="40">
        <f t="shared" si="24"/>
        <v>27167.300000000003</v>
      </c>
      <c r="T30" s="99">
        <f t="shared" si="25"/>
        <v>5546.429999999999</v>
      </c>
      <c r="U30" s="40">
        <v>2884.57</v>
      </c>
      <c r="V30" s="40">
        <v>3906.79</v>
      </c>
      <c r="W30" s="40">
        <v>9387.51</v>
      </c>
      <c r="X30" s="40">
        <v>6502.87</v>
      </c>
      <c r="Y30" s="40">
        <v>2307.64</v>
      </c>
      <c r="Z30" s="45">
        <v>0</v>
      </c>
      <c r="AA30" s="45">
        <v>0</v>
      </c>
      <c r="AB30" s="45">
        <f>SUM(U30:AA30)</f>
        <v>24989.38</v>
      </c>
      <c r="AC30" s="100">
        <f t="shared" si="26"/>
        <v>33848.465</v>
      </c>
      <c r="AD30" s="101">
        <f t="shared" si="27"/>
        <v>0</v>
      </c>
      <c r="AE30" s="101">
        <f t="shared" si="28"/>
        <v>0</v>
      </c>
      <c r="AF30" s="101">
        <f>'[1]Т01-10'!$I$8+'[1]Т01-10'!$I$37+'[1]Т01-10'!$I$53+'[1]Т01-10'!$I$103+'[1]Т01-10'!$I$110</f>
        <v>4410.077069999999</v>
      </c>
      <c r="AG30" s="28">
        <f t="shared" si="29"/>
        <v>2498.9399999999996</v>
      </c>
      <c r="AH30" s="28">
        <f t="shared" si="30"/>
        <v>832.98</v>
      </c>
      <c r="AI30" s="28">
        <f t="shared" si="31"/>
        <v>4164.9</v>
      </c>
      <c r="AJ30" s="28">
        <v>0</v>
      </c>
      <c r="AK30" s="28">
        <f t="shared" si="32"/>
        <v>4081.6019999999994</v>
      </c>
      <c r="AL30" s="28">
        <v>0</v>
      </c>
      <c r="AM30" s="28">
        <f t="shared" si="33"/>
        <v>9371.025</v>
      </c>
      <c r="AN30" s="28">
        <v>0</v>
      </c>
      <c r="AO30" s="28"/>
      <c r="AP30" s="28"/>
      <c r="AQ30" s="102"/>
      <c r="AR30" s="102"/>
      <c r="AS30" s="43">
        <v>3773</v>
      </c>
      <c r="AT30" s="43"/>
      <c r="AU30" s="43">
        <f t="shared" si="34"/>
        <v>0</v>
      </c>
      <c r="AV30" s="103"/>
      <c r="AW30" s="104">
        <v>994</v>
      </c>
      <c r="AX30" s="28">
        <f t="shared" si="35"/>
        <v>1391.6</v>
      </c>
      <c r="AY30" s="105"/>
      <c r="AZ30" s="107"/>
      <c r="BA30" s="107">
        <f t="shared" si="36"/>
        <v>0</v>
      </c>
      <c r="BB30" s="107">
        <f t="shared" si="37"/>
        <v>26114.047</v>
      </c>
      <c r="BC30" s="108">
        <f>'[1]Т03-10'!$M$8+'[1]Т03-10'!$M$37+'[1]Т03-10'!$M$54+'[1]Т03-10'!$M$104+'[1]Т03-10'!$M$111</f>
        <v>1998.6444999999999</v>
      </c>
      <c r="BD30" s="38">
        <f aca="true" t="shared" si="38" ref="BD30:BD40">AC30+AF30-BB30-BC30</f>
        <v>10145.850569999997</v>
      </c>
      <c r="BE30" s="28">
        <f aca="true" t="shared" si="39" ref="BE30:BE40">AB30-S30</f>
        <v>-2177.920000000002</v>
      </c>
    </row>
    <row r="31" spans="1:57" ht="12.75">
      <c r="A31" s="11" t="s">
        <v>47</v>
      </c>
      <c r="B31" s="39">
        <v>4164.4</v>
      </c>
      <c r="C31" s="97">
        <f t="shared" si="22"/>
        <v>36022.06</v>
      </c>
      <c r="D31" s="98">
        <f t="shared" si="23"/>
        <v>3335.5199999999963</v>
      </c>
      <c r="E31" s="48">
        <v>3142.44</v>
      </c>
      <c r="F31" s="48">
        <v>630.25</v>
      </c>
      <c r="G31" s="48">
        <v>4256.41</v>
      </c>
      <c r="H31" s="48">
        <v>854.3</v>
      </c>
      <c r="I31" s="48">
        <v>10227.11</v>
      </c>
      <c r="J31" s="48">
        <v>2051.73</v>
      </c>
      <c r="K31" s="48">
        <v>7084.63</v>
      </c>
      <c r="L31" s="48">
        <v>1421.54</v>
      </c>
      <c r="M31" s="48">
        <v>2513.95</v>
      </c>
      <c r="N31" s="48">
        <v>504.18</v>
      </c>
      <c r="O31" s="48">
        <v>0</v>
      </c>
      <c r="P31" s="49">
        <v>0</v>
      </c>
      <c r="Q31" s="49">
        <v>0</v>
      </c>
      <c r="R31" s="49">
        <v>0</v>
      </c>
      <c r="S31" s="40">
        <f t="shared" si="24"/>
        <v>27224.54</v>
      </c>
      <c r="T31" s="99">
        <f t="shared" si="25"/>
        <v>5462</v>
      </c>
      <c r="U31" s="40">
        <v>3598.68</v>
      </c>
      <c r="V31" s="40">
        <v>4905.56</v>
      </c>
      <c r="W31" s="40">
        <v>11786.25</v>
      </c>
      <c r="X31" s="40">
        <v>8164.78</v>
      </c>
      <c r="Y31" s="40">
        <v>2897.13</v>
      </c>
      <c r="Z31" s="45">
        <v>0</v>
      </c>
      <c r="AA31" s="45">
        <v>0</v>
      </c>
      <c r="AB31" s="45">
        <f>SUM(U31:AA31)</f>
        <v>31352.399999999998</v>
      </c>
      <c r="AC31" s="100">
        <f t="shared" si="26"/>
        <v>40149.92</v>
      </c>
      <c r="AD31" s="101">
        <f t="shared" si="27"/>
        <v>0</v>
      </c>
      <c r="AE31" s="101">
        <f t="shared" si="28"/>
        <v>0</v>
      </c>
      <c r="AF31" s="101">
        <f>'[1]Т01-10'!$I$8+'[1]Т01-10'!$I$37+'[1]Т01-10'!$I$53+'[1]Т01-10'!$I$103+'[1]Т01-10'!$I$110</f>
        <v>4410.077069999999</v>
      </c>
      <c r="AG31" s="28">
        <f t="shared" si="29"/>
        <v>2498.64</v>
      </c>
      <c r="AH31" s="28">
        <f t="shared" si="30"/>
        <v>832.88</v>
      </c>
      <c r="AI31" s="28">
        <f t="shared" si="31"/>
        <v>4164.4</v>
      </c>
      <c r="AJ31" s="28">
        <v>0</v>
      </c>
      <c r="AK31" s="28">
        <f t="shared" si="32"/>
        <v>4081.1119999999996</v>
      </c>
      <c r="AL31" s="28">
        <v>0</v>
      </c>
      <c r="AM31" s="28">
        <f t="shared" si="33"/>
        <v>9369.9</v>
      </c>
      <c r="AN31" s="28">
        <v>0</v>
      </c>
      <c r="AO31" s="28"/>
      <c r="AP31" s="28"/>
      <c r="AQ31" s="102"/>
      <c r="AR31" s="102"/>
      <c r="AS31" s="43">
        <v>11549</v>
      </c>
      <c r="AT31" s="43"/>
      <c r="AU31" s="43">
        <f t="shared" si="34"/>
        <v>0</v>
      </c>
      <c r="AV31" s="103"/>
      <c r="AW31" s="104">
        <v>795</v>
      </c>
      <c r="AX31" s="28">
        <f t="shared" si="35"/>
        <v>1113</v>
      </c>
      <c r="AY31" s="105"/>
      <c r="AZ31" s="107"/>
      <c r="BA31" s="107">
        <f t="shared" si="36"/>
        <v>0</v>
      </c>
      <c r="BB31" s="107">
        <f t="shared" si="37"/>
        <v>33608.932</v>
      </c>
      <c r="BC31" s="108">
        <f>'[1]Т03-10'!$M$8+'[1]Т03-10'!$M$37+'[1]Т03-10'!$M$54+'[1]Т03-10'!$M$104+'[1]Т03-10'!$M$111</f>
        <v>1998.6444999999999</v>
      </c>
      <c r="BD31" s="38">
        <f t="shared" si="38"/>
        <v>8952.420569999997</v>
      </c>
      <c r="BE31" s="28">
        <f t="shared" si="39"/>
        <v>4127.859999999997</v>
      </c>
    </row>
    <row r="32" spans="1:57" ht="12.75">
      <c r="A32" s="11" t="s">
        <v>48</v>
      </c>
      <c r="B32" s="39">
        <v>4164.4</v>
      </c>
      <c r="C32" s="97">
        <f t="shared" si="22"/>
        <v>36022.06</v>
      </c>
      <c r="D32" s="98">
        <f t="shared" si="23"/>
        <v>3312.670000000001</v>
      </c>
      <c r="E32" s="48">
        <v>3145.08</v>
      </c>
      <c r="F32" s="48">
        <v>630.25</v>
      </c>
      <c r="G32" s="48">
        <v>4259.99</v>
      </c>
      <c r="H32" s="48">
        <v>854.3</v>
      </c>
      <c r="I32" s="48">
        <v>10235.69</v>
      </c>
      <c r="J32" s="48">
        <v>2051.73</v>
      </c>
      <c r="K32" s="48">
        <v>7090.57</v>
      </c>
      <c r="L32" s="48">
        <v>1421.54</v>
      </c>
      <c r="M32" s="48">
        <v>2516.06</v>
      </c>
      <c r="N32" s="48">
        <v>504.18</v>
      </c>
      <c r="O32" s="48">
        <v>0</v>
      </c>
      <c r="P32" s="49">
        <v>0</v>
      </c>
      <c r="Q32" s="49"/>
      <c r="R32" s="49"/>
      <c r="S32" s="40">
        <f t="shared" si="24"/>
        <v>27247.390000000003</v>
      </c>
      <c r="T32" s="99">
        <f t="shared" si="25"/>
        <v>5462</v>
      </c>
      <c r="U32" s="40">
        <v>2573.79</v>
      </c>
      <c r="V32" s="40">
        <v>3474.95</v>
      </c>
      <c r="W32" s="40">
        <v>8366.15</v>
      </c>
      <c r="X32" s="40">
        <v>5792.36</v>
      </c>
      <c r="Y32" s="40">
        <v>2059.26</v>
      </c>
      <c r="Z32" s="45">
        <v>0</v>
      </c>
      <c r="AA32" s="45">
        <v>0</v>
      </c>
      <c r="AB32" s="45">
        <f>SUM(U32:AA32)</f>
        <v>22266.510000000002</v>
      </c>
      <c r="AC32" s="100">
        <f t="shared" si="26"/>
        <v>31041.180000000004</v>
      </c>
      <c r="AD32" s="101">
        <f t="shared" si="27"/>
        <v>0</v>
      </c>
      <c r="AE32" s="101">
        <f t="shared" si="28"/>
        <v>0</v>
      </c>
      <c r="AF32" s="101">
        <f>'[6]Т04-10'!$I$8+'[6]Т04-10'!$I$37+'[6]Т04-10'!$I$54+'[6]Т04-10'!$I$104+'[6]Т04-10'!$I$111</f>
        <v>4410.077069999999</v>
      </c>
      <c r="AG32" s="28">
        <f t="shared" si="29"/>
        <v>2498.64</v>
      </c>
      <c r="AH32" s="28">
        <f t="shared" si="30"/>
        <v>832.88</v>
      </c>
      <c r="AI32" s="28">
        <f t="shared" si="31"/>
        <v>4164.4</v>
      </c>
      <c r="AJ32" s="28">
        <v>0</v>
      </c>
      <c r="AK32" s="28">
        <f t="shared" si="32"/>
        <v>4081.1119999999996</v>
      </c>
      <c r="AL32" s="28">
        <v>0</v>
      </c>
      <c r="AM32" s="28">
        <f t="shared" si="33"/>
        <v>9369.9</v>
      </c>
      <c r="AN32" s="28">
        <v>0</v>
      </c>
      <c r="AO32" s="28"/>
      <c r="AP32" s="28"/>
      <c r="AQ32" s="102">
        <f>2633.72-0.01</f>
        <v>2633.7099999999996</v>
      </c>
      <c r="AR32" s="102"/>
      <c r="AS32" s="43">
        <v>4760</v>
      </c>
      <c r="AT32" s="43"/>
      <c r="AU32" s="43">
        <f t="shared" si="34"/>
        <v>0</v>
      </c>
      <c r="AV32" s="103"/>
      <c r="AW32" s="104">
        <v>955</v>
      </c>
      <c r="AX32" s="28">
        <f t="shared" si="35"/>
        <v>1337</v>
      </c>
      <c r="AY32" s="105"/>
      <c r="AZ32" s="107"/>
      <c r="BA32" s="107">
        <f t="shared" si="36"/>
        <v>0</v>
      </c>
      <c r="BB32" s="107">
        <f t="shared" si="37"/>
        <v>29677.642</v>
      </c>
      <c r="BC32" s="108">
        <f>'[6]Т04-10'!$M$8+'[6]Т04-10'!$M$37+'[6]Т04-10'!$M$54+'[6]Т04-10'!$M$104+'[6]Т04-10'!$M$111</f>
        <v>1998.6444999999999</v>
      </c>
      <c r="BD32" s="38">
        <f t="shared" si="38"/>
        <v>3774.9705700000072</v>
      </c>
      <c r="BE32" s="28">
        <f t="shared" si="39"/>
        <v>-4980.880000000001</v>
      </c>
    </row>
    <row r="33" spans="1:57" ht="12.75">
      <c r="A33" s="11" t="s">
        <v>49</v>
      </c>
      <c r="B33" s="39">
        <v>4164.82</v>
      </c>
      <c r="C33" s="97">
        <f t="shared" si="22"/>
        <v>36025.693</v>
      </c>
      <c r="D33" s="98">
        <f t="shared" si="23"/>
        <v>3313.193000000004</v>
      </c>
      <c r="E33" s="48">
        <v>3146.99</v>
      </c>
      <c r="F33" s="48">
        <v>628.71</v>
      </c>
      <c r="G33" s="48">
        <v>4262.49</v>
      </c>
      <c r="H33" s="48">
        <v>852.21</v>
      </c>
      <c r="I33" s="48">
        <v>10241.93</v>
      </c>
      <c r="J33" s="48">
        <v>2046.7</v>
      </c>
      <c r="K33" s="48">
        <v>7094.87</v>
      </c>
      <c r="L33" s="48">
        <v>1418.05</v>
      </c>
      <c r="M33" s="48">
        <v>2517.61</v>
      </c>
      <c r="N33" s="48">
        <v>502.94</v>
      </c>
      <c r="O33" s="48">
        <v>0</v>
      </c>
      <c r="P33" s="49">
        <v>0</v>
      </c>
      <c r="Q33" s="49"/>
      <c r="R33" s="49"/>
      <c r="S33" s="40">
        <f t="shared" si="24"/>
        <v>27263.89</v>
      </c>
      <c r="T33" s="99">
        <f t="shared" si="25"/>
        <v>5448.61</v>
      </c>
      <c r="U33" s="134">
        <v>2972.68</v>
      </c>
      <c r="V33" s="134">
        <v>4068.85</v>
      </c>
      <c r="W33" s="134">
        <v>9776.75</v>
      </c>
      <c r="X33" s="134">
        <v>6772.63</v>
      </c>
      <c r="Y33" s="134">
        <v>2403.27</v>
      </c>
      <c r="Z33" s="135">
        <v>0</v>
      </c>
      <c r="AA33" s="135">
        <v>0</v>
      </c>
      <c r="AB33" s="45">
        <f aca="true" t="shared" si="40" ref="AB33:AB40">SUM(U33:AA33)</f>
        <v>25994.18</v>
      </c>
      <c r="AC33" s="100">
        <f t="shared" si="26"/>
        <v>34755.98300000001</v>
      </c>
      <c r="AD33" s="101">
        <f t="shared" si="27"/>
        <v>0</v>
      </c>
      <c r="AE33" s="101">
        <f t="shared" si="28"/>
        <v>0</v>
      </c>
      <c r="AF33" s="101">
        <f>'[6]Т04-10'!$I$8+'[6]Т04-10'!$I$37+'[6]Т04-10'!$I$54+'[6]Т04-10'!$I$104+'[6]Т04-10'!$I$111</f>
        <v>4410.077069999999</v>
      </c>
      <c r="AG33" s="28">
        <f t="shared" si="29"/>
        <v>2498.892</v>
      </c>
      <c r="AH33" s="28">
        <f t="shared" si="30"/>
        <v>832.9639999999999</v>
      </c>
      <c r="AI33" s="28">
        <f t="shared" si="31"/>
        <v>4164.82</v>
      </c>
      <c r="AJ33" s="28">
        <v>0</v>
      </c>
      <c r="AK33" s="28">
        <f t="shared" si="32"/>
        <v>4081.5235999999995</v>
      </c>
      <c r="AL33" s="28">
        <v>0</v>
      </c>
      <c r="AM33" s="28">
        <f t="shared" si="33"/>
        <v>9370.845</v>
      </c>
      <c r="AN33" s="28">
        <v>0</v>
      </c>
      <c r="AO33" s="28">
        <v>4716.9</v>
      </c>
      <c r="AP33" s="28"/>
      <c r="AQ33" s="102"/>
      <c r="AR33" s="102"/>
      <c r="AS33" s="43">
        <v>17519</v>
      </c>
      <c r="AT33" s="43"/>
      <c r="AU33" s="43">
        <f t="shared" si="34"/>
        <v>0</v>
      </c>
      <c r="AV33" s="103"/>
      <c r="AW33" s="104">
        <v>596</v>
      </c>
      <c r="AX33" s="28">
        <f t="shared" si="35"/>
        <v>834.4</v>
      </c>
      <c r="AY33" s="105"/>
      <c r="AZ33" s="107"/>
      <c r="BA33" s="107">
        <f t="shared" si="36"/>
        <v>0</v>
      </c>
      <c r="BB33" s="107">
        <f t="shared" si="37"/>
        <v>44019.344600000004</v>
      </c>
      <c r="BC33" s="108">
        <f>'[6]Т04-10'!$M$8+'[6]Т04-10'!$M$37+'[6]Т04-10'!$M$54+'[6]Т04-10'!$M$104+'[6]Т04-10'!$M$111</f>
        <v>1998.6444999999999</v>
      </c>
      <c r="BD33" s="38">
        <f t="shared" si="38"/>
        <v>-6851.9290299999975</v>
      </c>
      <c r="BE33" s="28">
        <f t="shared" si="39"/>
        <v>-1269.7099999999991</v>
      </c>
    </row>
    <row r="34" spans="1:57" ht="12.75">
      <c r="A34" s="11" t="s">
        <v>50</v>
      </c>
      <c r="B34" s="39">
        <v>4164.82</v>
      </c>
      <c r="C34" s="97">
        <f t="shared" si="22"/>
        <v>36025.693</v>
      </c>
      <c r="D34" s="98">
        <f t="shared" si="23"/>
        <v>3338.8629999999976</v>
      </c>
      <c r="E34" s="48">
        <v>3143.97</v>
      </c>
      <c r="F34" s="48">
        <v>628.71</v>
      </c>
      <c r="G34" s="48">
        <v>4258.56</v>
      </c>
      <c r="H34" s="48">
        <v>852.21</v>
      </c>
      <c r="I34" s="48">
        <v>10232.27</v>
      </c>
      <c r="J34" s="48">
        <v>2046.7</v>
      </c>
      <c r="K34" s="48">
        <v>7088.23</v>
      </c>
      <c r="L34" s="48">
        <v>1418.05</v>
      </c>
      <c r="M34" s="48">
        <v>2515.19</v>
      </c>
      <c r="N34" s="48">
        <v>502.94</v>
      </c>
      <c r="O34" s="48">
        <v>0</v>
      </c>
      <c r="P34" s="49">
        <v>0</v>
      </c>
      <c r="Q34" s="48">
        <v>0</v>
      </c>
      <c r="R34" s="49">
        <v>0</v>
      </c>
      <c r="S34" s="40">
        <f t="shared" si="24"/>
        <v>27238.22</v>
      </c>
      <c r="T34" s="99">
        <f t="shared" si="25"/>
        <v>5448.61</v>
      </c>
      <c r="U34" s="40">
        <v>2900.35</v>
      </c>
      <c r="V34" s="40">
        <v>3958.34</v>
      </c>
      <c r="W34" s="40">
        <v>9511.6</v>
      </c>
      <c r="X34" s="40">
        <v>6588.7</v>
      </c>
      <c r="Y34" s="40">
        <v>2338.26</v>
      </c>
      <c r="Z34" s="45">
        <v>0</v>
      </c>
      <c r="AA34" s="45">
        <v>0</v>
      </c>
      <c r="AB34" s="45">
        <f t="shared" si="40"/>
        <v>25297.25</v>
      </c>
      <c r="AC34" s="100">
        <f t="shared" si="26"/>
        <v>34084.723</v>
      </c>
      <c r="AD34" s="101">
        <f t="shared" si="27"/>
        <v>0</v>
      </c>
      <c r="AE34" s="101">
        <f t="shared" si="28"/>
        <v>0</v>
      </c>
      <c r="AF34" s="101">
        <f>'[6]Т04-10'!$I$8+'[6]Т04-10'!$I$37+'[6]Т04-10'!$I$54+'[6]Т04-10'!$I$104+'[6]Т04-10'!$I$111</f>
        <v>4410.077069999999</v>
      </c>
      <c r="AG34" s="28">
        <f t="shared" si="29"/>
        <v>2498.892</v>
      </c>
      <c r="AH34" s="28">
        <f t="shared" si="30"/>
        <v>832.9639999999999</v>
      </c>
      <c r="AI34" s="28">
        <f t="shared" si="31"/>
        <v>4164.82</v>
      </c>
      <c r="AJ34" s="28">
        <v>0</v>
      </c>
      <c r="AK34" s="28">
        <f t="shared" si="32"/>
        <v>4081.5235999999995</v>
      </c>
      <c r="AL34" s="28">
        <v>0</v>
      </c>
      <c r="AM34" s="28">
        <f t="shared" si="33"/>
        <v>9370.845</v>
      </c>
      <c r="AN34" s="28">
        <v>0</v>
      </c>
      <c r="AO34" s="28"/>
      <c r="AP34" s="28"/>
      <c r="AQ34" s="102">
        <v>100</v>
      </c>
      <c r="AR34" s="102"/>
      <c r="AS34" s="43">
        <v>4522</v>
      </c>
      <c r="AT34" s="43">
        <v>31153.58</v>
      </c>
      <c r="AU34" s="43">
        <f t="shared" si="34"/>
        <v>5607.6444</v>
      </c>
      <c r="AV34" s="103"/>
      <c r="AW34" s="104">
        <v>513</v>
      </c>
      <c r="AX34" s="28">
        <f t="shared" si="35"/>
        <v>718.1999999999999</v>
      </c>
      <c r="AY34" s="105"/>
      <c r="AZ34" s="107"/>
      <c r="BA34" s="107">
        <f t="shared" si="36"/>
        <v>0</v>
      </c>
      <c r="BB34" s="107">
        <f t="shared" si="37"/>
        <v>63050.469</v>
      </c>
      <c r="BC34" s="108">
        <f>'[6]Т06-10'!$M$8+'[6]Т06-10'!$M$37+'[6]Т06-10'!$M$54+'[6]Т06-10'!$M$101+'[6]Т06-10'!$M$108</f>
        <v>1998.6444999999999</v>
      </c>
      <c r="BD34" s="38">
        <f t="shared" si="38"/>
        <v>-26554.31343</v>
      </c>
      <c r="BE34" s="28">
        <f t="shared" si="39"/>
        <v>-1940.9700000000012</v>
      </c>
    </row>
    <row r="35" spans="1:57" ht="12.75">
      <c r="A35" s="11" t="s">
        <v>51</v>
      </c>
      <c r="B35" s="39">
        <v>4164.82</v>
      </c>
      <c r="C35" s="97">
        <f t="shared" si="22"/>
        <v>36025.693</v>
      </c>
      <c r="D35" s="98">
        <f t="shared" si="23"/>
        <v>3253.9829999999993</v>
      </c>
      <c r="E35" s="133">
        <v>3782.66</v>
      </c>
      <c r="F35" s="48">
        <v>0</v>
      </c>
      <c r="G35" s="48">
        <v>5123.75</v>
      </c>
      <c r="H35" s="48">
        <v>0</v>
      </c>
      <c r="I35" s="48">
        <v>12310.92</v>
      </c>
      <c r="J35" s="48">
        <v>0</v>
      </c>
      <c r="K35" s="48">
        <v>8528.26</v>
      </c>
      <c r="L35" s="48">
        <v>0</v>
      </c>
      <c r="M35" s="48">
        <v>3026.12</v>
      </c>
      <c r="N35" s="48">
        <v>0</v>
      </c>
      <c r="O35" s="48">
        <v>0</v>
      </c>
      <c r="P35" s="49">
        <v>0</v>
      </c>
      <c r="Q35" s="49"/>
      <c r="R35" s="49"/>
      <c r="S35" s="40">
        <f t="shared" si="24"/>
        <v>32771.71000000001</v>
      </c>
      <c r="T35" s="99">
        <f t="shared" si="25"/>
        <v>0</v>
      </c>
      <c r="U35" s="44">
        <v>3529.21</v>
      </c>
      <c r="V35" s="40">
        <v>4780.27</v>
      </c>
      <c r="W35" s="40">
        <v>13693.97</v>
      </c>
      <c r="X35" s="40">
        <v>7956.7</v>
      </c>
      <c r="Y35" s="40">
        <v>2823.32</v>
      </c>
      <c r="Z35" s="45">
        <v>0</v>
      </c>
      <c r="AA35" s="45">
        <v>0</v>
      </c>
      <c r="AB35" s="45">
        <f t="shared" si="40"/>
        <v>32783.47</v>
      </c>
      <c r="AC35" s="100">
        <f t="shared" si="26"/>
        <v>36037.453</v>
      </c>
      <c r="AD35" s="101">
        <f t="shared" si="27"/>
        <v>0</v>
      </c>
      <c r="AE35" s="101">
        <f t="shared" si="28"/>
        <v>0</v>
      </c>
      <c r="AF35" s="101">
        <f>'[7]Т07-10'!$I$7+'[7]Т07-10'!$I$36+'[7]Т07-10'!$I$54+'[7]Т07-10'!$I$100+'[7]Т07-10'!$I$107</f>
        <v>4410.077069999999</v>
      </c>
      <c r="AG35" s="28">
        <f t="shared" si="29"/>
        <v>2498.892</v>
      </c>
      <c r="AH35" s="28">
        <f t="shared" si="30"/>
        <v>832.9639999999999</v>
      </c>
      <c r="AI35" s="28">
        <f t="shared" si="31"/>
        <v>4164.82</v>
      </c>
      <c r="AJ35" s="28">
        <v>0</v>
      </c>
      <c r="AK35" s="28">
        <f t="shared" si="32"/>
        <v>4081.5235999999995</v>
      </c>
      <c r="AL35" s="28">
        <v>0</v>
      </c>
      <c r="AM35" s="28">
        <f t="shared" si="33"/>
        <v>9370.845</v>
      </c>
      <c r="AN35" s="28">
        <v>0</v>
      </c>
      <c r="AO35" s="28"/>
      <c r="AP35" s="28"/>
      <c r="AQ35" s="102"/>
      <c r="AR35" s="102"/>
      <c r="AS35" s="43"/>
      <c r="AT35" s="43"/>
      <c r="AU35" s="43">
        <f t="shared" si="34"/>
        <v>0</v>
      </c>
      <c r="AV35" s="103"/>
      <c r="AW35" s="104">
        <v>652</v>
      </c>
      <c r="AX35" s="28">
        <f t="shared" si="35"/>
        <v>912.8</v>
      </c>
      <c r="AY35" s="105"/>
      <c r="AZ35" s="107"/>
      <c r="BA35" s="107">
        <f t="shared" si="36"/>
        <v>0</v>
      </c>
      <c r="BB35" s="107">
        <f t="shared" si="37"/>
        <v>21861.8446</v>
      </c>
      <c r="BC35" s="108">
        <f>'[6]Т06-10'!$M$8+'[6]Т06-10'!$M$37+'[6]Т06-10'!$M$54+'[6]Т06-10'!$M$101+'[6]Т06-10'!$M$108</f>
        <v>1998.6444999999999</v>
      </c>
      <c r="BD35" s="38">
        <f t="shared" si="38"/>
        <v>16587.040970000002</v>
      </c>
      <c r="BE35" s="28">
        <f t="shared" si="39"/>
        <v>11.759999999994761</v>
      </c>
    </row>
    <row r="36" spans="1:57" ht="12.75">
      <c r="A36" s="11" t="s">
        <v>52</v>
      </c>
      <c r="B36" s="39">
        <v>4164.82</v>
      </c>
      <c r="C36" s="97">
        <f t="shared" si="22"/>
        <v>36025.693</v>
      </c>
      <c r="D36" s="98">
        <f t="shared" si="23"/>
        <v>3277.9430000000016</v>
      </c>
      <c r="E36" s="133">
        <v>3779.85</v>
      </c>
      <c r="F36" s="48">
        <v>0</v>
      </c>
      <c r="G36" s="48">
        <v>5120.09</v>
      </c>
      <c r="H36" s="48">
        <v>0</v>
      </c>
      <c r="I36" s="48">
        <v>12301.89</v>
      </c>
      <c r="J36" s="48">
        <v>0</v>
      </c>
      <c r="K36" s="48">
        <v>8522.06</v>
      </c>
      <c r="L36" s="48">
        <v>0</v>
      </c>
      <c r="M36" s="48">
        <v>3023.86</v>
      </c>
      <c r="N36" s="48">
        <v>0</v>
      </c>
      <c r="O36" s="48">
        <v>0</v>
      </c>
      <c r="P36" s="49">
        <v>0</v>
      </c>
      <c r="Q36" s="49"/>
      <c r="R36" s="49"/>
      <c r="S36" s="40">
        <f t="shared" si="24"/>
        <v>32747.75</v>
      </c>
      <c r="T36" s="99">
        <f t="shared" si="25"/>
        <v>0</v>
      </c>
      <c r="U36" s="134">
        <v>3289.59</v>
      </c>
      <c r="V36" s="134">
        <v>4523.6</v>
      </c>
      <c r="W36" s="134">
        <v>10868.63</v>
      </c>
      <c r="X36" s="134">
        <v>7529.1</v>
      </c>
      <c r="Y36" s="134">
        <v>2671.56</v>
      </c>
      <c r="Z36" s="135">
        <v>0</v>
      </c>
      <c r="AA36" s="135">
        <v>0</v>
      </c>
      <c r="AB36" s="45">
        <f t="shared" si="40"/>
        <v>28882.48</v>
      </c>
      <c r="AC36" s="100">
        <f t="shared" si="26"/>
        <v>32160.423000000003</v>
      </c>
      <c r="AD36" s="101">
        <f t="shared" si="27"/>
        <v>0</v>
      </c>
      <c r="AE36" s="101">
        <f t="shared" si="28"/>
        <v>0</v>
      </c>
      <c r="AF36" s="101">
        <f>'[7]Т07-10'!$I$7+'[7]Т07-10'!$I$36+'[7]Т07-10'!$I$54+'[7]Т07-10'!$I$100+'[7]Т07-10'!$I$107</f>
        <v>4410.077069999999</v>
      </c>
      <c r="AG36" s="28">
        <f t="shared" si="29"/>
        <v>2498.892</v>
      </c>
      <c r="AH36" s="28">
        <f t="shared" si="30"/>
        <v>832.9639999999999</v>
      </c>
      <c r="AI36" s="28">
        <f t="shared" si="31"/>
        <v>4164.82</v>
      </c>
      <c r="AJ36" s="28">
        <v>0</v>
      </c>
      <c r="AK36" s="28">
        <f t="shared" si="32"/>
        <v>4081.5235999999995</v>
      </c>
      <c r="AL36" s="28">
        <v>0</v>
      </c>
      <c r="AM36" s="28">
        <f t="shared" si="33"/>
        <v>9370.845</v>
      </c>
      <c r="AN36" s="28">
        <v>0</v>
      </c>
      <c r="AO36" s="28"/>
      <c r="AP36" s="28"/>
      <c r="AQ36" s="102"/>
      <c r="AR36" s="102"/>
      <c r="AS36" s="43">
        <v>5729</v>
      </c>
      <c r="AT36" s="43">
        <f>47.8</f>
        <v>47.8</v>
      </c>
      <c r="AU36" s="43">
        <f t="shared" si="34"/>
        <v>8.604</v>
      </c>
      <c r="AV36" s="103"/>
      <c r="AW36" s="104">
        <v>657</v>
      </c>
      <c r="AX36" s="28">
        <f t="shared" si="35"/>
        <v>919.8</v>
      </c>
      <c r="AY36" s="105"/>
      <c r="AZ36" s="107"/>
      <c r="BA36" s="107">
        <f t="shared" si="36"/>
        <v>0</v>
      </c>
      <c r="BB36" s="107">
        <f t="shared" si="37"/>
        <v>27654.2486</v>
      </c>
      <c r="BC36" s="108">
        <f>'[6]Т06-10'!$M$8+'[6]Т06-10'!$M$37+'[6]Т06-10'!$M$54+'[6]Т06-10'!$M$101+'[6]Т06-10'!$M$108</f>
        <v>1998.6444999999999</v>
      </c>
      <c r="BD36" s="38">
        <f t="shared" si="38"/>
        <v>6917.606970000003</v>
      </c>
      <c r="BE36" s="28">
        <f t="shared" si="39"/>
        <v>-3865.2700000000004</v>
      </c>
    </row>
    <row r="37" spans="1:57" ht="12.75">
      <c r="A37" s="11" t="s">
        <v>53</v>
      </c>
      <c r="B37" s="39">
        <v>4164.82</v>
      </c>
      <c r="C37" s="97">
        <f t="shared" si="22"/>
        <v>36025.693</v>
      </c>
      <c r="D37" s="98">
        <f t="shared" si="23"/>
        <v>3290.9329999999986</v>
      </c>
      <c r="E37" s="48">
        <v>3778.32</v>
      </c>
      <c r="F37" s="48">
        <v>0</v>
      </c>
      <c r="G37" s="48">
        <v>5118.09</v>
      </c>
      <c r="H37" s="48">
        <v>0</v>
      </c>
      <c r="I37" s="48">
        <v>12297.01</v>
      </c>
      <c r="J37" s="48">
        <v>0</v>
      </c>
      <c r="K37" s="48">
        <v>8518.7</v>
      </c>
      <c r="L37" s="48">
        <v>0</v>
      </c>
      <c r="M37" s="48">
        <v>3022.64</v>
      </c>
      <c r="N37" s="48">
        <v>0</v>
      </c>
      <c r="O37" s="48">
        <v>0</v>
      </c>
      <c r="P37" s="49">
        <v>0</v>
      </c>
      <c r="Q37" s="49"/>
      <c r="R37" s="49"/>
      <c r="S37" s="40">
        <f t="shared" si="24"/>
        <v>32734.76</v>
      </c>
      <c r="T37" s="99">
        <f t="shared" si="25"/>
        <v>0</v>
      </c>
      <c r="U37" s="40">
        <v>3295.61</v>
      </c>
      <c r="V37" s="40">
        <v>4473.91</v>
      </c>
      <c r="W37" s="40">
        <v>10749.66</v>
      </c>
      <c r="X37" s="40">
        <v>9120.68</v>
      </c>
      <c r="Y37" s="40">
        <v>2642.37</v>
      </c>
      <c r="Z37" s="45">
        <v>0</v>
      </c>
      <c r="AA37" s="45">
        <v>0</v>
      </c>
      <c r="AB37" s="45">
        <f t="shared" si="40"/>
        <v>30282.23</v>
      </c>
      <c r="AC37" s="100">
        <f t="shared" si="26"/>
        <v>33573.163</v>
      </c>
      <c r="AD37" s="101">
        <f t="shared" si="27"/>
        <v>0</v>
      </c>
      <c r="AE37" s="101">
        <f t="shared" si="28"/>
        <v>0</v>
      </c>
      <c r="AF37" s="101">
        <f>'[7]Т09-10'!$I$7+'[7]Т09-10'!$I$36+'[7]Т09-10'!$I$54+'[7]Т09-10'!$I$100+'[7]Т09-10'!$I$101+'[7]Т09-10'!$I$108+'[7]Т09-10'!$I$127</f>
        <v>11400.22579</v>
      </c>
      <c r="AG37" s="28">
        <f t="shared" si="29"/>
        <v>2498.892</v>
      </c>
      <c r="AH37" s="28">
        <f t="shared" si="30"/>
        <v>832.9639999999999</v>
      </c>
      <c r="AI37" s="28">
        <f t="shared" si="31"/>
        <v>4164.82</v>
      </c>
      <c r="AJ37" s="28">
        <v>0</v>
      </c>
      <c r="AK37" s="28">
        <f t="shared" si="32"/>
        <v>4081.5235999999995</v>
      </c>
      <c r="AL37" s="28">
        <v>0</v>
      </c>
      <c r="AM37" s="28">
        <f t="shared" si="33"/>
        <v>9370.845</v>
      </c>
      <c r="AN37" s="28">
        <v>0</v>
      </c>
      <c r="AO37" s="28"/>
      <c r="AP37" s="28"/>
      <c r="AQ37" s="102"/>
      <c r="AR37" s="102"/>
      <c r="AS37" s="43">
        <v>3081</v>
      </c>
      <c r="AT37" s="43"/>
      <c r="AU37" s="136">
        <f t="shared" si="34"/>
        <v>0</v>
      </c>
      <c r="AV37" s="103"/>
      <c r="AW37" s="104">
        <v>805</v>
      </c>
      <c r="AX37" s="28">
        <f t="shared" si="35"/>
        <v>1127</v>
      </c>
      <c r="AY37" s="105"/>
      <c r="AZ37" s="107"/>
      <c r="BA37" s="107">
        <f t="shared" si="36"/>
        <v>0</v>
      </c>
      <c r="BB37" s="107">
        <f t="shared" si="37"/>
        <v>25157.0446</v>
      </c>
      <c r="BC37" s="108">
        <f>'[7]Т09-10'!$M$7+'[7]Т09-10'!$M$36+'[7]Т09-10'!$M$54+'[7]Т09-10'!$M$100+'[7]Т09-10'!$M$101+'[7]Т09-10'!$M$108+'[7]Т09-10'!$M$127</f>
        <v>3127.3975</v>
      </c>
      <c r="BD37" s="38">
        <f t="shared" si="38"/>
        <v>16688.946689999997</v>
      </c>
      <c r="BE37" s="28">
        <f t="shared" si="39"/>
        <v>-2452.529999999999</v>
      </c>
    </row>
    <row r="38" spans="1:57" ht="12.75">
      <c r="A38" s="29" t="s">
        <v>41</v>
      </c>
      <c r="B38" s="39">
        <v>4164.82</v>
      </c>
      <c r="C38" s="97">
        <f t="shared" si="22"/>
        <v>36025.693</v>
      </c>
      <c r="D38" s="98">
        <f t="shared" si="23"/>
        <v>3291.4829999999984</v>
      </c>
      <c r="E38" s="50">
        <v>3778.25</v>
      </c>
      <c r="F38" s="50">
        <v>0</v>
      </c>
      <c r="G38" s="50">
        <v>5118.01</v>
      </c>
      <c r="H38" s="50">
        <v>0</v>
      </c>
      <c r="I38" s="50">
        <v>12296.8</v>
      </c>
      <c r="J38" s="50">
        <v>0</v>
      </c>
      <c r="K38" s="50">
        <v>8518.56</v>
      </c>
      <c r="L38" s="50">
        <v>0</v>
      </c>
      <c r="M38" s="50">
        <v>3022.59</v>
      </c>
      <c r="N38" s="50">
        <v>0</v>
      </c>
      <c r="O38" s="50">
        <v>0</v>
      </c>
      <c r="P38" s="51">
        <v>0</v>
      </c>
      <c r="Q38" s="51"/>
      <c r="R38" s="51"/>
      <c r="S38" s="40">
        <f t="shared" si="24"/>
        <v>32734.209999999995</v>
      </c>
      <c r="T38" s="99">
        <f t="shared" si="25"/>
        <v>0</v>
      </c>
      <c r="U38" s="40">
        <v>3643.68</v>
      </c>
      <c r="V38" s="40">
        <v>4949.58</v>
      </c>
      <c r="W38" s="40">
        <v>11893.25</v>
      </c>
      <c r="X38" s="40">
        <v>8238.76</v>
      </c>
      <c r="Y38" s="40">
        <v>2923.62</v>
      </c>
      <c r="Z38" s="45">
        <v>0</v>
      </c>
      <c r="AA38" s="45">
        <v>0</v>
      </c>
      <c r="AB38" s="45">
        <f t="shared" si="40"/>
        <v>31648.890000000003</v>
      </c>
      <c r="AC38" s="100">
        <f t="shared" si="26"/>
        <v>34940.373</v>
      </c>
      <c r="AD38" s="101">
        <f t="shared" si="27"/>
        <v>0</v>
      </c>
      <c r="AE38" s="101">
        <f t="shared" si="28"/>
        <v>0</v>
      </c>
      <c r="AF38" s="101">
        <f>'[7]Т10-10'!$I$7+'[7]Т10-10'!$I$36+'[7]Т10-10'!$I$54+'[7]Т10-10'!$I$100+'[7]Т10-10'!$I$101+'[7]Т10-10'!$I$108+'[7]Т10-10'!$I$127+150</f>
        <v>8731.00519</v>
      </c>
      <c r="AG38" s="28">
        <f t="shared" si="29"/>
        <v>2498.892</v>
      </c>
      <c r="AH38" s="28">
        <f t="shared" si="30"/>
        <v>832.9639999999999</v>
      </c>
      <c r="AI38" s="28">
        <f t="shared" si="31"/>
        <v>4164.82</v>
      </c>
      <c r="AJ38" s="28">
        <v>0</v>
      </c>
      <c r="AK38" s="28">
        <f t="shared" si="32"/>
        <v>4081.5235999999995</v>
      </c>
      <c r="AL38" s="28">
        <v>0</v>
      </c>
      <c r="AM38" s="28">
        <f t="shared" si="33"/>
        <v>9370.845</v>
      </c>
      <c r="AN38" s="28">
        <v>0</v>
      </c>
      <c r="AO38" s="28"/>
      <c r="AP38" s="28"/>
      <c r="AQ38" s="102"/>
      <c r="AR38" s="102"/>
      <c r="AS38" s="43">
        <v>6813</v>
      </c>
      <c r="AT38" s="43"/>
      <c r="AU38" s="43">
        <f>0*0.18</f>
        <v>0</v>
      </c>
      <c r="AV38" s="103"/>
      <c r="AW38" s="104">
        <v>800</v>
      </c>
      <c r="AX38" s="28">
        <f t="shared" si="35"/>
        <v>1120</v>
      </c>
      <c r="AY38" s="105"/>
      <c r="AZ38" s="107"/>
      <c r="BA38" s="107">
        <f t="shared" si="36"/>
        <v>0</v>
      </c>
      <c r="BB38" s="107">
        <f t="shared" si="37"/>
        <v>28882.0446</v>
      </c>
      <c r="BC38" s="108">
        <f>'[7]Т10-10'!$M$7+'[7]Т10-10'!$M$36+'[7]Т10-10'!$M$54+'[7]Т10-10'!$M$100+'[7]Т10-10'!$M$101+'[7]Т10-10'!$M$108+'[7]Т10-10'!$M$127+37.5</f>
        <v>3164.8975</v>
      </c>
      <c r="BD38" s="38">
        <f t="shared" si="38"/>
        <v>11624.436090000003</v>
      </c>
      <c r="BE38" s="28">
        <f t="shared" si="39"/>
        <v>-1085.3199999999924</v>
      </c>
    </row>
    <row r="39" spans="1:57" ht="12.75">
      <c r="A39" s="11" t="s">
        <v>42</v>
      </c>
      <c r="B39" s="39">
        <v>4164.82</v>
      </c>
      <c r="C39" s="97">
        <f t="shared" si="22"/>
        <v>36025.693</v>
      </c>
      <c r="D39" s="98">
        <f t="shared" si="23"/>
        <v>3242.6530000000007</v>
      </c>
      <c r="E39" s="48">
        <v>3783.99</v>
      </c>
      <c r="F39" s="48">
        <v>0</v>
      </c>
      <c r="G39" s="48">
        <v>5125.48</v>
      </c>
      <c r="H39" s="48">
        <v>0</v>
      </c>
      <c r="I39" s="48">
        <v>12315.19</v>
      </c>
      <c r="J39" s="48">
        <v>0</v>
      </c>
      <c r="K39" s="48">
        <v>8531.2</v>
      </c>
      <c r="L39" s="48">
        <v>0</v>
      </c>
      <c r="M39" s="48">
        <v>3027.18</v>
      </c>
      <c r="N39" s="48">
        <v>0</v>
      </c>
      <c r="O39" s="48">
        <v>0</v>
      </c>
      <c r="P39" s="49">
        <v>0</v>
      </c>
      <c r="Q39" s="49"/>
      <c r="R39" s="49"/>
      <c r="S39" s="40">
        <f t="shared" si="24"/>
        <v>32783.04</v>
      </c>
      <c r="T39" s="99">
        <f t="shared" si="25"/>
        <v>0</v>
      </c>
      <c r="U39" s="44">
        <v>3190.49</v>
      </c>
      <c r="V39" s="40">
        <v>4327.09</v>
      </c>
      <c r="W39" s="40">
        <v>10396.42</v>
      </c>
      <c r="X39" s="40">
        <v>7202.07</v>
      </c>
      <c r="Y39" s="40">
        <v>2555.46</v>
      </c>
      <c r="Z39" s="45">
        <v>0</v>
      </c>
      <c r="AA39" s="45">
        <v>0</v>
      </c>
      <c r="AB39" s="45">
        <f t="shared" si="40"/>
        <v>27671.53</v>
      </c>
      <c r="AC39" s="100">
        <f t="shared" si="26"/>
        <v>30914.183</v>
      </c>
      <c r="AD39" s="101">
        <f t="shared" si="27"/>
        <v>0</v>
      </c>
      <c r="AE39" s="101">
        <f t="shared" si="28"/>
        <v>0</v>
      </c>
      <c r="AF39" s="101">
        <f>'[7]Т11'!$I$7+'[7]Т11'!$I$36+'[7]Т11'!$I$54+'[7]Т11'!$I$100+'[7]Т11'!$I$107+'[7]Т11'!$I$126+'[7]Т11'!$I$133+150</f>
        <v>8731.00519</v>
      </c>
      <c r="AG39" s="28">
        <f t="shared" si="29"/>
        <v>2498.892</v>
      </c>
      <c r="AH39" s="28">
        <f t="shared" si="30"/>
        <v>832.9639999999999</v>
      </c>
      <c r="AI39" s="28">
        <f t="shared" si="31"/>
        <v>4164.82</v>
      </c>
      <c r="AJ39" s="28">
        <v>0</v>
      </c>
      <c r="AK39" s="28">
        <f t="shared" si="32"/>
        <v>4081.5235999999995</v>
      </c>
      <c r="AL39" s="28">
        <v>0</v>
      </c>
      <c r="AM39" s="28">
        <f t="shared" si="33"/>
        <v>9370.845</v>
      </c>
      <c r="AN39" s="28">
        <v>0</v>
      </c>
      <c r="AO39" s="28"/>
      <c r="AP39" s="28"/>
      <c r="AQ39" s="102"/>
      <c r="AR39" s="102"/>
      <c r="AS39" s="43">
        <v>3526</v>
      </c>
      <c r="AT39" s="43">
        <v>20894</v>
      </c>
      <c r="AU39" s="43">
        <f>0*0.18</f>
        <v>0</v>
      </c>
      <c r="AV39" s="103"/>
      <c r="AW39" s="104">
        <v>913</v>
      </c>
      <c r="AX39" s="28">
        <f t="shared" si="35"/>
        <v>1278.1999999999998</v>
      </c>
      <c r="AY39" s="105"/>
      <c r="AZ39" s="107"/>
      <c r="BA39" s="107">
        <f t="shared" si="36"/>
        <v>0</v>
      </c>
      <c r="BB39" s="107">
        <f t="shared" si="37"/>
        <v>46647.2446</v>
      </c>
      <c r="BC39" s="108">
        <f>'[7]Т11'!$M$7+'[7]Т11'!$M$36+'[7]Т11'!$M$54+'[7]Т11'!$M$100+'[7]Т11'!$M$107+'[7]Т11'!$M$126+'[7]Т11'!$M$133+37.5</f>
        <v>3164.8975</v>
      </c>
      <c r="BD39" s="38">
        <f t="shared" si="38"/>
        <v>-10166.953909999997</v>
      </c>
      <c r="BE39" s="28">
        <f t="shared" si="39"/>
        <v>-5111.510000000002</v>
      </c>
    </row>
    <row r="40" spans="1:57" ht="13.5" thickBot="1">
      <c r="A40" s="137" t="s">
        <v>43</v>
      </c>
      <c r="B40" s="39">
        <v>4164.82</v>
      </c>
      <c r="C40" s="97">
        <f t="shared" si="22"/>
        <v>36025.693</v>
      </c>
      <c r="D40" s="98">
        <f t="shared" si="23"/>
        <v>3270.102999999996</v>
      </c>
      <c r="E40" s="48">
        <v>3780.76</v>
      </c>
      <c r="F40" s="48">
        <v>0</v>
      </c>
      <c r="G40" s="48">
        <v>5121.27</v>
      </c>
      <c r="H40" s="48">
        <v>0</v>
      </c>
      <c r="I40" s="48">
        <v>12304.85</v>
      </c>
      <c r="J40" s="48">
        <v>0</v>
      </c>
      <c r="K40" s="48">
        <v>8524.1</v>
      </c>
      <c r="L40" s="48">
        <v>0</v>
      </c>
      <c r="M40" s="48">
        <v>3024.61</v>
      </c>
      <c r="N40" s="48">
        <v>0</v>
      </c>
      <c r="O40" s="48">
        <v>0</v>
      </c>
      <c r="P40" s="49">
        <v>0</v>
      </c>
      <c r="Q40" s="49"/>
      <c r="R40" s="49"/>
      <c r="S40" s="40">
        <f t="shared" si="24"/>
        <v>32755.590000000004</v>
      </c>
      <c r="T40" s="99">
        <f t="shared" si="25"/>
        <v>0</v>
      </c>
      <c r="U40" s="40">
        <v>3603.08</v>
      </c>
      <c r="V40" s="40">
        <v>4885.47</v>
      </c>
      <c r="W40" s="40">
        <v>11738.7</v>
      </c>
      <c r="X40" s="40">
        <v>8131.66</v>
      </c>
      <c r="Y40" s="40">
        <v>2884.77</v>
      </c>
      <c r="Z40" s="45">
        <v>0</v>
      </c>
      <c r="AA40" s="45">
        <v>0</v>
      </c>
      <c r="AB40" s="45">
        <f t="shared" si="40"/>
        <v>31243.68</v>
      </c>
      <c r="AC40" s="100">
        <f t="shared" si="26"/>
        <v>34513.782999999996</v>
      </c>
      <c r="AD40" s="101">
        <f t="shared" si="27"/>
        <v>0</v>
      </c>
      <c r="AE40" s="101">
        <f t="shared" si="28"/>
        <v>0</v>
      </c>
      <c r="AF40" s="101">
        <f>'[7]Т11'!$I$7+'[7]Т11'!$I$36+'[7]Т11'!$I$54+'[7]Т11'!$I$100+'[7]Т11'!$I$107+'[7]Т11'!$I$126+'[7]Т11'!$I$133+150</f>
        <v>8731.00519</v>
      </c>
      <c r="AG40" s="28">
        <f t="shared" si="29"/>
        <v>2498.892</v>
      </c>
      <c r="AH40" s="28">
        <f t="shared" si="30"/>
        <v>832.9639999999999</v>
      </c>
      <c r="AI40" s="28">
        <f t="shared" si="31"/>
        <v>4164.82</v>
      </c>
      <c r="AJ40" s="28">
        <v>0</v>
      </c>
      <c r="AK40" s="28">
        <f t="shared" si="32"/>
        <v>4081.5235999999995</v>
      </c>
      <c r="AL40" s="28">
        <v>0</v>
      </c>
      <c r="AM40" s="28">
        <f t="shared" si="33"/>
        <v>9370.845</v>
      </c>
      <c r="AN40" s="28">
        <v>0</v>
      </c>
      <c r="AO40" s="28"/>
      <c r="AP40" s="28"/>
      <c r="AQ40" s="102"/>
      <c r="AR40" s="102"/>
      <c r="AS40" s="43">
        <v>5136</v>
      </c>
      <c r="AT40" s="43">
        <f>2153.39+172.39+114.92</f>
        <v>2440.7</v>
      </c>
      <c r="AU40" s="43">
        <f>(2153.39+172.39+114.92)*0.18</f>
        <v>439.32599999999996</v>
      </c>
      <c r="AV40" s="103"/>
      <c r="AW40" s="104">
        <v>1487</v>
      </c>
      <c r="AX40" s="28">
        <f t="shared" si="35"/>
        <v>2081.7999999999997</v>
      </c>
      <c r="AY40" s="105"/>
      <c r="AZ40" s="107"/>
      <c r="BA40" s="107">
        <f t="shared" si="36"/>
        <v>0</v>
      </c>
      <c r="BB40" s="107">
        <f t="shared" si="37"/>
        <v>31046.870600000002</v>
      </c>
      <c r="BC40" s="108">
        <f>'[7]Т11'!$M$7+'[7]Т11'!$M$36+'[7]Т11'!$M$54+'[7]Т11'!$M$100+'[7]Т11'!$M$107+'[7]Т11'!$M$126+'[7]Т11'!$M$133+37.5</f>
        <v>3164.8975</v>
      </c>
      <c r="BD40" s="38">
        <f t="shared" si="38"/>
        <v>9033.02008999999</v>
      </c>
      <c r="BE40" s="28">
        <f t="shared" si="39"/>
        <v>-1511.9100000000035</v>
      </c>
    </row>
    <row r="41" spans="1:57" s="25" customFormat="1" ht="13.5" thickBot="1">
      <c r="A41" s="138" t="s">
        <v>5</v>
      </c>
      <c r="B41" s="139"/>
      <c r="C41" s="139">
        <f aca="true" t="shared" si="41" ref="C41:AE41">SUM(C29:C40)</f>
        <v>432302.4339999999</v>
      </c>
      <c r="D41" s="139">
        <f t="shared" si="41"/>
        <v>39551.503999999986</v>
      </c>
      <c r="E41" s="140">
        <f t="shared" si="41"/>
        <v>41553.63</v>
      </c>
      <c r="F41" s="140">
        <f t="shared" si="41"/>
        <v>3778.41</v>
      </c>
      <c r="G41" s="140">
        <f t="shared" si="41"/>
        <v>56285.65000000001</v>
      </c>
      <c r="H41" s="140">
        <f t="shared" si="41"/>
        <v>5121.63</v>
      </c>
      <c r="I41" s="140">
        <f t="shared" si="41"/>
        <v>135238.72</v>
      </c>
      <c r="J41" s="140">
        <f t="shared" si="41"/>
        <v>12300.320000000002</v>
      </c>
      <c r="K41" s="140">
        <f t="shared" si="41"/>
        <v>93684.86</v>
      </c>
      <c r="L41" s="140">
        <f t="shared" si="41"/>
        <v>8522.26</v>
      </c>
      <c r="M41" s="140">
        <f t="shared" si="41"/>
        <v>33242.86</v>
      </c>
      <c r="N41" s="140">
        <f t="shared" si="41"/>
        <v>3022.59</v>
      </c>
      <c r="O41" s="140">
        <f t="shared" si="41"/>
        <v>0</v>
      </c>
      <c r="P41" s="140">
        <f t="shared" si="41"/>
        <v>0</v>
      </c>
      <c r="Q41" s="140">
        <f t="shared" si="41"/>
        <v>0</v>
      </c>
      <c r="R41" s="140">
        <f t="shared" si="41"/>
        <v>0</v>
      </c>
      <c r="S41" s="140">
        <f t="shared" si="41"/>
        <v>360005.72000000003</v>
      </c>
      <c r="T41" s="140">
        <f t="shared" si="41"/>
        <v>32745.21</v>
      </c>
      <c r="U41" s="141">
        <f t="shared" si="41"/>
        <v>37812.69</v>
      </c>
      <c r="V41" s="141">
        <f t="shared" si="41"/>
        <v>51490.7</v>
      </c>
      <c r="W41" s="141">
        <f t="shared" si="41"/>
        <v>125945.46</v>
      </c>
      <c r="X41" s="141">
        <f t="shared" si="41"/>
        <v>87387.43</v>
      </c>
      <c r="Y41" s="141">
        <f t="shared" si="41"/>
        <v>30418.23</v>
      </c>
      <c r="Z41" s="141">
        <f t="shared" si="41"/>
        <v>0</v>
      </c>
      <c r="AA41" s="141">
        <f t="shared" si="41"/>
        <v>0</v>
      </c>
      <c r="AB41" s="141">
        <f t="shared" si="41"/>
        <v>333054.50999999995</v>
      </c>
      <c r="AC41" s="141">
        <f t="shared" si="41"/>
        <v>405351.22400000005</v>
      </c>
      <c r="AD41" s="142">
        <f t="shared" si="41"/>
        <v>0</v>
      </c>
      <c r="AE41" s="142">
        <f t="shared" si="41"/>
        <v>0</v>
      </c>
      <c r="AF41" s="142"/>
      <c r="AG41" s="143">
        <f aca="true" t="shared" si="42" ref="AG41:AP41">SUM(AG29:AG40)</f>
        <v>29986.295999999995</v>
      </c>
      <c r="AH41" s="143">
        <f t="shared" si="42"/>
        <v>9995.432</v>
      </c>
      <c r="AI41" s="143">
        <f t="shared" si="42"/>
        <v>49977.159999999996</v>
      </c>
      <c r="AJ41" s="143">
        <f t="shared" si="42"/>
        <v>0</v>
      </c>
      <c r="AK41" s="143">
        <f t="shared" si="42"/>
        <v>48977.616799999996</v>
      </c>
      <c r="AL41" s="143">
        <f t="shared" si="42"/>
        <v>0</v>
      </c>
      <c r="AM41" s="143">
        <f t="shared" si="42"/>
        <v>112448.61</v>
      </c>
      <c r="AN41" s="143">
        <f t="shared" si="42"/>
        <v>0</v>
      </c>
      <c r="AO41" s="143">
        <f t="shared" si="42"/>
        <v>4716.9</v>
      </c>
      <c r="AP41" s="143">
        <f t="shared" si="42"/>
        <v>0</v>
      </c>
      <c r="AQ41" s="143">
        <f>SUM(AQ29:AQ40)</f>
        <v>2733.7099999999996</v>
      </c>
      <c r="AR41" s="143">
        <f>SUM(AR29:AR40)</f>
        <v>0</v>
      </c>
      <c r="AS41" s="144">
        <f>SUM(AS29:AS40)</f>
        <v>69553</v>
      </c>
      <c r="AT41" s="144">
        <f>SUM(AT29:AT40)</f>
        <v>54536.08</v>
      </c>
      <c r="AU41" s="144">
        <f>SUM(AU29:AU40)</f>
        <v>6055.5744</v>
      </c>
      <c r="AV41" s="143"/>
      <c r="AW41" s="143"/>
      <c r="AX41" s="143">
        <f aca="true" t="shared" si="43" ref="AX41:BE41">SUM(AX29:AX40)</f>
        <v>14184.8</v>
      </c>
      <c r="AY41" s="143">
        <f t="shared" si="43"/>
        <v>0</v>
      </c>
      <c r="AZ41" s="143">
        <f t="shared" si="43"/>
        <v>22065</v>
      </c>
      <c r="BA41" s="143">
        <f t="shared" si="43"/>
        <v>3971.7</v>
      </c>
      <c r="BB41" s="143">
        <f t="shared" si="43"/>
        <v>429201.8792</v>
      </c>
      <c r="BC41" s="143">
        <f t="shared" si="43"/>
        <v>28611.246</v>
      </c>
      <c r="BD41" s="145">
        <f t="shared" si="43"/>
        <v>20411.956720000002</v>
      </c>
      <c r="BE41" s="146">
        <f t="shared" si="43"/>
        <v>-26951.210000000006</v>
      </c>
    </row>
    <row r="42" spans="1:57" ht="13.5" thickBot="1">
      <c r="A42" s="147"/>
      <c r="B42" s="148"/>
      <c r="C42" s="149">
        <f>C27+C41</f>
        <v>1405040.779</v>
      </c>
      <c r="D42" s="149">
        <f aca="true" t="shared" si="44" ref="D42:BB42">D27+D41</f>
        <v>114064.82362264997</v>
      </c>
      <c r="E42" s="149">
        <f t="shared" si="44"/>
        <v>86438.47</v>
      </c>
      <c r="F42" s="149">
        <f t="shared" si="44"/>
        <v>12455.65</v>
      </c>
      <c r="G42" s="149">
        <f t="shared" si="44"/>
        <v>116992.97</v>
      </c>
      <c r="H42" s="149">
        <f t="shared" si="44"/>
        <v>16863</v>
      </c>
      <c r="I42" s="149">
        <f t="shared" si="44"/>
        <v>281169.51</v>
      </c>
      <c r="J42" s="149">
        <f t="shared" si="44"/>
        <v>40528</v>
      </c>
      <c r="K42" s="149">
        <f t="shared" si="44"/>
        <v>194738.14</v>
      </c>
      <c r="L42" s="149">
        <f t="shared" si="44"/>
        <v>28073.15</v>
      </c>
      <c r="M42" s="149">
        <f t="shared" si="44"/>
        <v>69077.97</v>
      </c>
      <c r="N42" s="149">
        <f t="shared" si="44"/>
        <v>9964.18</v>
      </c>
      <c r="O42" s="149">
        <f t="shared" si="44"/>
        <v>0</v>
      </c>
      <c r="P42" s="149">
        <f t="shared" si="44"/>
        <v>0</v>
      </c>
      <c r="Q42" s="149">
        <f t="shared" si="44"/>
        <v>0</v>
      </c>
      <c r="R42" s="149">
        <f t="shared" si="44"/>
        <v>0</v>
      </c>
      <c r="S42" s="149">
        <f t="shared" si="44"/>
        <v>748417.06</v>
      </c>
      <c r="T42" s="149">
        <f t="shared" si="44"/>
        <v>107883.98000000001</v>
      </c>
      <c r="U42" s="149">
        <f t="shared" si="44"/>
        <v>77811.26000000001</v>
      </c>
      <c r="V42" s="149">
        <f t="shared" si="44"/>
        <v>105263.8</v>
      </c>
      <c r="W42" s="149">
        <f t="shared" si="44"/>
        <v>255210.60000000003</v>
      </c>
      <c r="X42" s="149">
        <f t="shared" si="44"/>
        <v>176896.39999999997</v>
      </c>
      <c r="Y42" s="149">
        <f t="shared" si="44"/>
        <v>62155.979999999996</v>
      </c>
      <c r="Z42" s="149">
        <f t="shared" si="44"/>
        <v>0</v>
      </c>
      <c r="AA42" s="149">
        <f t="shared" si="44"/>
        <v>0</v>
      </c>
      <c r="AB42" s="149">
        <f t="shared" si="44"/>
        <v>677338.0399999999</v>
      </c>
      <c r="AC42" s="149">
        <f t="shared" si="44"/>
        <v>899286.84362265</v>
      </c>
      <c r="AD42" s="149">
        <f t="shared" si="44"/>
        <v>0</v>
      </c>
      <c r="AE42" s="149">
        <f t="shared" si="44"/>
        <v>0</v>
      </c>
      <c r="AF42" s="149">
        <f t="shared" si="44"/>
        <v>0</v>
      </c>
      <c r="AG42" s="149">
        <f t="shared" si="44"/>
        <v>66471.85199999998</v>
      </c>
      <c r="AH42" s="149">
        <f t="shared" si="44"/>
        <v>22273.522233000003</v>
      </c>
      <c r="AI42" s="149">
        <f t="shared" si="44"/>
        <v>101133.43859675</v>
      </c>
      <c r="AJ42" s="149">
        <f t="shared" si="44"/>
        <v>9208.130147414999</v>
      </c>
      <c r="AK42" s="149">
        <f t="shared" si="44"/>
        <v>100743.53946428999</v>
      </c>
      <c r="AL42" s="149">
        <f t="shared" si="44"/>
        <v>9317.8660795722</v>
      </c>
      <c r="AM42" s="149">
        <f t="shared" si="44"/>
        <v>225809.5729991895</v>
      </c>
      <c r="AN42" s="149">
        <f t="shared" si="44"/>
        <v>20404.97333985411</v>
      </c>
      <c r="AO42" s="149">
        <f t="shared" si="44"/>
        <v>4716.9</v>
      </c>
      <c r="AP42" s="149">
        <f t="shared" si="44"/>
        <v>0</v>
      </c>
      <c r="AQ42" s="149">
        <f t="shared" si="44"/>
        <v>38088.992999999995</v>
      </c>
      <c r="AR42" s="149">
        <f t="shared" si="44"/>
        <v>6363.950939999999</v>
      </c>
      <c r="AS42" s="149">
        <f t="shared" si="44"/>
        <v>188981.41999999998</v>
      </c>
      <c r="AT42" s="149">
        <f t="shared" si="44"/>
        <v>69501.01000000001</v>
      </c>
      <c r="AU42" s="149">
        <f t="shared" si="44"/>
        <v>30246.3874</v>
      </c>
      <c r="AV42" s="149">
        <f t="shared" si="44"/>
        <v>0</v>
      </c>
      <c r="AW42" s="149">
        <f t="shared" si="44"/>
        <v>0</v>
      </c>
      <c r="AX42" s="149">
        <f t="shared" si="44"/>
        <v>31915.3856</v>
      </c>
      <c r="AY42" s="149">
        <f t="shared" si="44"/>
        <v>0</v>
      </c>
      <c r="AZ42" s="149">
        <f t="shared" si="44"/>
        <v>58065</v>
      </c>
      <c r="BA42" s="149">
        <f t="shared" si="44"/>
        <v>10451.7</v>
      </c>
      <c r="BB42" s="149">
        <f t="shared" si="44"/>
        <v>989509.4562000709</v>
      </c>
      <c r="BC42" s="149">
        <f>BC27+BC41</f>
        <v>42368.4302810911</v>
      </c>
      <c r="BD42" s="149">
        <f>BD27+BD41</f>
        <v>-29131.951568511868</v>
      </c>
      <c r="BE42" s="150">
        <f>BE27+BE41</f>
        <v>-71079.02000000002</v>
      </c>
    </row>
  </sheetData>
  <sheetProtection/>
  <mergeCells count="65">
    <mergeCell ref="A1:N1"/>
    <mergeCell ref="A3:A6"/>
    <mergeCell ref="B3:B6"/>
    <mergeCell ref="C3:C6"/>
    <mergeCell ref="D3:D6"/>
    <mergeCell ref="E3:R3"/>
    <mergeCell ref="E4:F4"/>
    <mergeCell ref="AU5:AU6"/>
    <mergeCell ref="AG5:AG6"/>
    <mergeCell ref="AE3:AE6"/>
    <mergeCell ref="AN5:AN6"/>
    <mergeCell ref="G4:H4"/>
    <mergeCell ref="M4:N4"/>
    <mergeCell ref="O4:P4"/>
    <mergeCell ref="Q4:R4"/>
    <mergeCell ref="I4:J4"/>
    <mergeCell ref="AB5:AB6"/>
    <mergeCell ref="AC3:AC6"/>
    <mergeCell ref="K5:K6"/>
    <mergeCell ref="M5:M6"/>
    <mergeCell ref="N5:N6"/>
    <mergeCell ref="O5:O6"/>
    <mergeCell ref="W5:W6"/>
    <mergeCell ref="S3:T4"/>
    <mergeCell ref="U3:AB4"/>
    <mergeCell ref="X5:X6"/>
    <mergeCell ref="Y5:Y6"/>
    <mergeCell ref="Z5:Z6"/>
    <mergeCell ref="AA5:AA6"/>
    <mergeCell ref="AH5:AH6"/>
    <mergeCell ref="AI5:AI6"/>
    <mergeCell ref="AJ5:AJ6"/>
    <mergeCell ref="AK5:AK6"/>
    <mergeCell ref="AL5:AL6"/>
    <mergeCell ref="AM5:AM6"/>
    <mergeCell ref="AD3:AD6"/>
    <mergeCell ref="T5:T6"/>
    <mergeCell ref="U5:U6"/>
    <mergeCell ref="E5:E6"/>
    <mergeCell ref="F5:F6"/>
    <mergeCell ref="G5:G6"/>
    <mergeCell ref="H5:H6"/>
    <mergeCell ref="L5:L6"/>
    <mergeCell ref="V5:V6"/>
    <mergeCell ref="K4:L4"/>
    <mergeCell ref="AP5:AP6"/>
    <mergeCell ref="AQ5:AQ6"/>
    <mergeCell ref="AR5:AR6"/>
    <mergeCell ref="I5:I6"/>
    <mergeCell ref="J5:J6"/>
    <mergeCell ref="AT5:AT6"/>
    <mergeCell ref="P5:P6"/>
    <mergeCell ref="Q5:Q6"/>
    <mergeCell ref="R5:R6"/>
    <mergeCell ref="S5:S6"/>
    <mergeCell ref="AS5:AS6"/>
    <mergeCell ref="AG3:BB4"/>
    <mergeCell ref="BD3:BD6"/>
    <mergeCell ref="BE3:BE6"/>
    <mergeCell ref="AV5:AX5"/>
    <mergeCell ref="AY5:AY6"/>
    <mergeCell ref="AZ5:AZ6"/>
    <mergeCell ref="BA5:BA6"/>
    <mergeCell ref="BB5:BB6"/>
    <mergeCell ref="AO5:AO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22">
      <selection activeCell="C55" sqref="C55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10.00390625" style="2" customWidth="1"/>
    <col min="5" max="5" width="10.125" style="2" bestFit="1" customWidth="1"/>
    <col min="6" max="7" width="9.875" style="2" customWidth="1"/>
    <col min="8" max="8" width="10.875" style="2" customWidth="1"/>
    <col min="9" max="9" width="10.125" style="2" customWidth="1"/>
    <col min="10" max="10" width="9.25390625" style="2" customWidth="1"/>
    <col min="11" max="11" width="10.875" style="2" customWidth="1"/>
    <col min="12" max="12" width="10.375" style="2" customWidth="1"/>
    <col min="13" max="14" width="10.125" style="2" customWidth="1"/>
    <col min="15" max="15" width="10.375" style="2" customWidth="1"/>
    <col min="16" max="16" width="10.75390625" style="2" customWidth="1"/>
    <col min="17" max="17" width="11.625" style="2" customWidth="1"/>
    <col min="18" max="16384" width="9.125" style="2" customWidth="1"/>
  </cols>
  <sheetData>
    <row r="1" ht="18.75">
      <c r="E1" s="30" t="s">
        <v>54</v>
      </c>
    </row>
    <row r="2" ht="18.75">
      <c r="E2" s="30" t="s">
        <v>55</v>
      </c>
    </row>
    <row r="6" spans="1:16" ht="12.75">
      <c r="A6" s="223" t="s">
        <v>72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</row>
    <row r="7" spans="1:16" ht="12.75">
      <c r="A7" s="234" t="s">
        <v>86</v>
      </c>
      <c r="B7" s="234"/>
      <c r="C7" s="234"/>
      <c r="D7" s="234"/>
      <c r="E7" s="234"/>
      <c r="F7" s="234"/>
      <c r="G7" s="234"/>
      <c r="H7" s="56"/>
      <c r="I7" s="56"/>
      <c r="J7" s="56"/>
      <c r="K7" s="56"/>
      <c r="L7" s="56"/>
      <c r="M7" s="56"/>
      <c r="N7" s="56"/>
      <c r="O7" s="56"/>
      <c r="P7" s="56"/>
    </row>
    <row r="8" spans="1:16" ht="12" customHeight="1" thickBot="1">
      <c r="A8" s="31"/>
      <c r="B8" s="31"/>
      <c r="C8" s="31"/>
      <c r="D8" s="31"/>
      <c r="E8" s="31"/>
      <c r="F8" s="31"/>
      <c r="H8" s="31"/>
      <c r="I8" s="31"/>
      <c r="J8" s="31"/>
      <c r="K8" s="31"/>
      <c r="L8" s="31"/>
      <c r="M8" s="31"/>
      <c r="N8" s="31"/>
      <c r="O8" s="31"/>
      <c r="P8" s="31"/>
    </row>
    <row r="9" spans="1:5" ht="13.5" hidden="1" thickBot="1">
      <c r="A9" s="60" t="s">
        <v>56</v>
      </c>
      <c r="D9" s="4"/>
      <c r="E9" s="60">
        <v>8.65</v>
      </c>
    </row>
    <row r="10" spans="1:17" ht="12.75" customHeight="1">
      <c r="A10" s="204" t="s">
        <v>57</v>
      </c>
      <c r="B10" s="224" t="s">
        <v>1</v>
      </c>
      <c r="C10" s="224" t="s">
        <v>58</v>
      </c>
      <c r="D10" s="227" t="s">
        <v>3</v>
      </c>
      <c r="E10" s="204" t="s">
        <v>59</v>
      </c>
      <c r="F10" s="178"/>
      <c r="G10" s="217">
        <f>Лист1!AF3</f>
        <v>0</v>
      </c>
      <c r="H10" s="213" t="s">
        <v>70</v>
      </c>
      <c r="I10" s="214"/>
      <c r="J10" s="230" t="s">
        <v>10</v>
      </c>
      <c r="K10" s="176"/>
      <c r="L10" s="176"/>
      <c r="M10" s="176"/>
      <c r="N10" s="176"/>
      <c r="O10" s="231"/>
      <c r="P10" s="204" t="s">
        <v>60</v>
      </c>
      <c r="Q10" s="181" t="s">
        <v>75</v>
      </c>
    </row>
    <row r="11" spans="1:17" ht="12.75" customHeight="1">
      <c r="A11" s="205"/>
      <c r="B11" s="225"/>
      <c r="C11" s="225"/>
      <c r="D11" s="228"/>
      <c r="E11" s="205"/>
      <c r="F11" s="179"/>
      <c r="G11" s="218"/>
      <c r="H11" s="215"/>
      <c r="I11" s="216"/>
      <c r="J11" s="232"/>
      <c r="K11" s="177"/>
      <c r="L11" s="177"/>
      <c r="M11" s="177"/>
      <c r="N11" s="177"/>
      <c r="O11" s="233"/>
      <c r="P11" s="205"/>
      <c r="Q11" s="182"/>
    </row>
    <row r="12" spans="1:17" ht="26.25" customHeight="1">
      <c r="A12" s="205"/>
      <c r="B12" s="225"/>
      <c r="C12" s="225"/>
      <c r="D12" s="228"/>
      <c r="E12" s="205" t="s">
        <v>61</v>
      </c>
      <c r="F12" s="179"/>
      <c r="G12" s="218"/>
      <c r="H12" s="96" t="s">
        <v>62</v>
      </c>
      <c r="I12" s="235" t="s">
        <v>7</v>
      </c>
      <c r="J12" s="237" t="s">
        <v>63</v>
      </c>
      <c r="K12" s="211" t="s">
        <v>32</v>
      </c>
      <c r="L12" s="211" t="s">
        <v>64</v>
      </c>
      <c r="M12" s="211" t="s">
        <v>37</v>
      </c>
      <c r="N12" s="211" t="s">
        <v>65</v>
      </c>
      <c r="O12" s="221" t="s">
        <v>39</v>
      </c>
      <c r="P12" s="205"/>
      <c r="Q12" s="182"/>
    </row>
    <row r="13" spans="1:17" ht="66.75" customHeight="1" thickBot="1">
      <c r="A13" s="206"/>
      <c r="B13" s="226"/>
      <c r="C13" s="226"/>
      <c r="D13" s="229"/>
      <c r="E13" s="87" t="s">
        <v>66</v>
      </c>
      <c r="F13" s="62" t="s">
        <v>21</v>
      </c>
      <c r="G13" s="219"/>
      <c r="H13" s="89" t="s">
        <v>71</v>
      </c>
      <c r="I13" s="236"/>
      <c r="J13" s="238"/>
      <c r="K13" s="212"/>
      <c r="L13" s="212"/>
      <c r="M13" s="212"/>
      <c r="N13" s="212"/>
      <c r="O13" s="222"/>
      <c r="P13" s="206"/>
      <c r="Q13" s="220"/>
    </row>
    <row r="14" spans="1:17" ht="13.5" thickBot="1">
      <c r="A14" s="72">
        <v>1</v>
      </c>
      <c r="B14" s="63">
        <v>2</v>
      </c>
      <c r="C14" s="63">
        <v>3</v>
      </c>
      <c r="D14" s="55">
        <v>4</v>
      </c>
      <c r="E14" s="72">
        <v>5</v>
      </c>
      <c r="F14" s="63">
        <v>6</v>
      </c>
      <c r="G14" s="73">
        <v>7</v>
      </c>
      <c r="H14" s="74">
        <v>8</v>
      </c>
      <c r="I14" s="73">
        <v>9</v>
      </c>
      <c r="J14" s="74">
        <v>10</v>
      </c>
      <c r="K14" s="63">
        <v>11</v>
      </c>
      <c r="L14" s="63">
        <v>12</v>
      </c>
      <c r="M14" s="63">
        <v>13</v>
      </c>
      <c r="N14" s="63">
        <v>14</v>
      </c>
      <c r="O14" s="55">
        <v>15</v>
      </c>
      <c r="P14" s="72">
        <v>16</v>
      </c>
      <c r="Q14" s="73">
        <v>17</v>
      </c>
    </row>
    <row r="15" spans="1:17" ht="12.75">
      <c r="A15" s="54" t="s">
        <v>40</v>
      </c>
      <c r="B15" s="52"/>
      <c r="C15" s="52"/>
      <c r="D15" s="80"/>
      <c r="E15" s="54"/>
      <c r="F15" s="52"/>
      <c r="G15" s="53"/>
      <c r="H15" s="75"/>
      <c r="I15" s="53"/>
      <c r="J15" s="75"/>
      <c r="K15" s="52"/>
      <c r="L15" s="52"/>
      <c r="M15" s="52"/>
      <c r="N15" s="52"/>
      <c r="O15" s="80"/>
      <c r="P15" s="54"/>
      <c r="Q15" s="64"/>
    </row>
    <row r="16" spans="1:19" ht="12.75">
      <c r="A16" s="11" t="s">
        <v>41</v>
      </c>
      <c r="B16" s="12">
        <f>Лист1!B9</f>
        <v>4165.1</v>
      </c>
      <c r="C16" s="61">
        <f>Лист1!C9</f>
        <v>36028.115000000005</v>
      </c>
      <c r="D16" s="32">
        <f>Лист1!D9</f>
        <v>8678.452341200002</v>
      </c>
      <c r="E16" s="34">
        <f>Лист1!S9</f>
        <v>25429.56</v>
      </c>
      <c r="F16" s="17">
        <f>Лист1!T9</f>
        <v>4640.07</v>
      </c>
      <c r="G16" s="82">
        <f>Лист1!AF9</f>
        <v>0</v>
      </c>
      <c r="H16" s="33">
        <f>Лист1!AB9</f>
        <v>442.62999999999994</v>
      </c>
      <c r="I16" s="82">
        <f>Лист1!AB9</f>
        <v>442.62999999999994</v>
      </c>
      <c r="J16" s="33">
        <f>Лист1!AG9</f>
        <v>2499.06</v>
      </c>
      <c r="K16" s="17">
        <f>Лист1!AI9+Лист1!AJ9</f>
        <v>4186.4301724</v>
      </c>
      <c r="L16" s="17">
        <f>Лист1!AH9+Лист1!AK9+Лист1!AL9+Лист1!AM9+Лист1!AN9+Лист1!AO9+Лист1!AP9+Лист1!AQ9+Лист1!AR9</f>
        <v>14700.27520081</v>
      </c>
      <c r="M16" s="18">
        <f>Лист1!AS9+Лист1!AT9+Лист1!AU9</f>
        <v>21801.337799999998</v>
      </c>
      <c r="N16" s="18">
        <f>Лист1!AX9</f>
        <v>0</v>
      </c>
      <c r="O16" s="81">
        <f>Лист1!BB9</f>
        <v>43187.10317321</v>
      </c>
      <c r="P16" s="34">
        <f>Лист1!BD9</f>
        <v>-29425.95083201</v>
      </c>
      <c r="Q16" s="19">
        <f>Лист1!BE9</f>
        <v>-24986.93</v>
      </c>
      <c r="R16" s="1"/>
      <c r="S16" s="1"/>
    </row>
    <row r="17" spans="1:19" ht="12.75">
      <c r="A17" s="11" t="s">
        <v>42</v>
      </c>
      <c r="B17" s="12">
        <f>Лист1!B10</f>
        <v>4165.1</v>
      </c>
      <c r="C17" s="61">
        <f>Лист1!C10</f>
        <v>36028.115000000005</v>
      </c>
      <c r="D17" s="32">
        <f>Лист1!D10</f>
        <v>8678.452341200002</v>
      </c>
      <c r="E17" s="34">
        <f>Лист1!S10</f>
        <v>24040.5</v>
      </c>
      <c r="F17" s="17">
        <f>Лист1!T10</f>
        <v>4523.620000000001</v>
      </c>
      <c r="G17" s="82">
        <f>Лист1!AF10</f>
        <v>0</v>
      </c>
      <c r="H17" s="33">
        <f>Лист1!AB10</f>
        <v>17585.44</v>
      </c>
      <c r="I17" s="82">
        <f>Лист1!AB10</f>
        <v>17585.44</v>
      </c>
      <c r="J17" s="33">
        <f>Лист1!AG10</f>
        <v>2499.06</v>
      </c>
      <c r="K17" s="17">
        <f>Лист1!AI10+Лист1!AJ10</f>
        <v>4186.4301724</v>
      </c>
      <c r="L17" s="17">
        <f>Лист1!AH10+Лист1!AK10+Лист1!AL10+Лист1!AM10+Лист1!AN10+Лист1!AO10+Лист1!AP10+Лист1!AQ10+Лист1!AR10</f>
        <v>14655.90855561</v>
      </c>
      <c r="M17" s="18">
        <f>Лист1!AS10+Лист1!AT10+Лист1!AU10</f>
        <v>23340.4</v>
      </c>
      <c r="N17" s="18">
        <f>Лист1!AX10</f>
        <v>0</v>
      </c>
      <c r="O17" s="81">
        <f>Лист1!BB10</f>
        <v>44681.79872801</v>
      </c>
      <c r="P17" s="34">
        <f>Лист1!BD10</f>
        <v>-13894.286386809996</v>
      </c>
      <c r="Q17" s="19">
        <f>Лист1!BE10</f>
        <v>-6455.060000000001</v>
      </c>
      <c r="R17" s="1"/>
      <c r="S17" s="1"/>
    </row>
    <row r="18" spans="1:19" ht="12.75">
      <c r="A18" s="11" t="s">
        <v>43</v>
      </c>
      <c r="B18" s="12">
        <f>Лист1!B11</f>
        <v>4165.1</v>
      </c>
      <c r="C18" s="61">
        <f>Лист1!C11</f>
        <v>36028.115000000005</v>
      </c>
      <c r="D18" s="32">
        <f>Лист1!D11</f>
        <v>8659.357440250002</v>
      </c>
      <c r="E18" s="34">
        <f>Лист1!S11</f>
        <v>24621.18</v>
      </c>
      <c r="F18" s="17">
        <f>Лист1!T11</f>
        <v>4618.54</v>
      </c>
      <c r="G18" s="82">
        <f>Лист1!AF11</f>
        <v>0</v>
      </c>
      <c r="H18" s="33">
        <f>Лист1!AB11</f>
        <v>24063.989999999998</v>
      </c>
      <c r="I18" s="82">
        <f>Лист1!AB11</f>
        <v>24063.989999999998</v>
      </c>
      <c r="J18" s="33">
        <f>Лист1!AG11</f>
        <v>2499.06</v>
      </c>
      <c r="K18" s="17">
        <f>Лист1!AI11+Лист1!AJ11</f>
        <v>4174.253223760001</v>
      </c>
      <c r="L18" s="17">
        <f>Лист1!AH11+Лист1!AK11+Лист1!AL11+Лист1!AM11+Лист1!AN11+Лист1!AO11+Лист1!AP11+Лист1!AQ11+Лист1!AR11</f>
        <v>14632.607445123002</v>
      </c>
      <c r="M18" s="18">
        <f>Лист1!AS11+Лист1!AT11+Лист1!AU11</f>
        <v>16429.14</v>
      </c>
      <c r="N18" s="18">
        <f>Лист1!AX11</f>
        <v>0</v>
      </c>
      <c r="O18" s="81">
        <f>Лист1!BB11</f>
        <v>37735.060668883</v>
      </c>
      <c r="P18" s="34">
        <f>Лист1!BD11</f>
        <v>-393.1732286330007</v>
      </c>
      <c r="Q18" s="19">
        <f>Лист1!BE11</f>
        <v>-557.1900000000023</v>
      </c>
      <c r="R18" s="1"/>
      <c r="S18" s="1"/>
    </row>
    <row r="19" spans="1:19" s="25" customFormat="1" ht="13.5" thickBot="1">
      <c r="A19" s="173" t="s">
        <v>5</v>
      </c>
      <c r="B19" s="70"/>
      <c r="C19" s="71">
        <f aca="true" t="shared" si="0" ref="C19:O19">SUM(C16:C18)</f>
        <v>108084.34500000002</v>
      </c>
      <c r="D19" s="71">
        <f t="shared" si="0"/>
        <v>26016.262122650005</v>
      </c>
      <c r="E19" s="71">
        <f t="shared" si="0"/>
        <v>74091.23999999999</v>
      </c>
      <c r="F19" s="71">
        <f t="shared" si="0"/>
        <v>13782.23</v>
      </c>
      <c r="G19" s="71">
        <f t="shared" si="0"/>
        <v>0</v>
      </c>
      <c r="H19" s="71">
        <f t="shared" si="0"/>
        <v>42092.06</v>
      </c>
      <c r="I19" s="71">
        <f t="shared" si="0"/>
        <v>42092.06</v>
      </c>
      <c r="J19" s="71">
        <f t="shared" si="0"/>
        <v>7497.18</v>
      </c>
      <c r="K19" s="71">
        <f t="shared" si="0"/>
        <v>12547.11356856</v>
      </c>
      <c r="L19" s="71">
        <f t="shared" si="0"/>
        <v>43988.791201543005</v>
      </c>
      <c r="M19" s="71">
        <f t="shared" si="0"/>
        <v>61570.8778</v>
      </c>
      <c r="N19" s="71">
        <f t="shared" si="0"/>
        <v>0</v>
      </c>
      <c r="O19" s="71">
        <f t="shared" si="0"/>
        <v>125603.962570103</v>
      </c>
      <c r="P19" s="71">
        <f>SUM(P16:P18)</f>
        <v>-43713.410447452996</v>
      </c>
      <c r="Q19" s="71">
        <f>SUM(Q16:Q18)</f>
        <v>-31999.180000000004</v>
      </c>
      <c r="R19" s="35"/>
      <c r="S19" s="35"/>
    </row>
    <row r="20" spans="1:19" ht="12.75">
      <c r="A20" s="54" t="s">
        <v>44</v>
      </c>
      <c r="B20" s="65"/>
      <c r="C20" s="66"/>
      <c r="D20" s="86"/>
      <c r="E20" s="78"/>
      <c r="F20" s="67"/>
      <c r="G20" s="85"/>
      <c r="H20" s="76"/>
      <c r="I20" s="85"/>
      <c r="J20" s="76"/>
      <c r="K20" s="67"/>
      <c r="L20" s="67"/>
      <c r="M20" s="68"/>
      <c r="N20" s="68"/>
      <c r="O20" s="84"/>
      <c r="P20" s="78"/>
      <c r="Q20" s="69"/>
      <c r="R20" s="1"/>
      <c r="S20" s="1"/>
    </row>
    <row r="21" spans="1:19" ht="12.75">
      <c r="A21" s="11" t="s">
        <v>45</v>
      </c>
      <c r="B21" s="12">
        <f>Лист1!B14</f>
        <v>4165.1</v>
      </c>
      <c r="C21" s="61">
        <f>Лист1!C14</f>
        <v>36028.115000000005</v>
      </c>
      <c r="D21" s="32">
        <f>Лист1!D14</f>
        <v>4503.514375000001</v>
      </c>
      <c r="E21" s="34">
        <f>Лист1!S14</f>
        <v>24704.770000000004</v>
      </c>
      <c r="F21" s="17">
        <f>Лист1!T14</f>
        <v>4517.76</v>
      </c>
      <c r="G21" s="82">
        <f>Лист1!AF14</f>
        <v>906.3285</v>
      </c>
      <c r="H21" s="33">
        <f>Лист1!AB14</f>
        <v>17025.109999999997</v>
      </c>
      <c r="I21" s="82">
        <f>Лист1!AB14</f>
        <v>17025.109999999997</v>
      </c>
      <c r="J21" s="33">
        <f>Лист1!AG14</f>
        <v>2249.154</v>
      </c>
      <c r="K21" s="17">
        <f>Лист1!AI14+Лист1!AJ14</f>
        <v>3621.9515251</v>
      </c>
      <c r="L21" s="17">
        <f>Лист1!AH14+Лист1!AK14+Лист1!AL14+Лист1!AM14+Лист1!AN14+Лист1!AO14+Лист1!AP14+Лист1!AQ14+Лист1!AR14</f>
        <v>12439.310726552001</v>
      </c>
      <c r="M21" s="18">
        <f>Лист1!AS14+Лист1!AT14+Лист1!AU14</f>
        <v>1285.03</v>
      </c>
      <c r="N21" s="18">
        <f>Лист1!AX14</f>
        <v>1718.0800000000002</v>
      </c>
      <c r="O21" s="81">
        <f>Лист1!BB14</f>
        <v>19595.446251652</v>
      </c>
      <c r="P21" s="34">
        <f>Лист1!BD14</f>
        <v>6971.952751847997</v>
      </c>
      <c r="Q21" s="19">
        <f>Лист1!BE14</f>
        <v>-7679.660000000007</v>
      </c>
      <c r="R21" s="1"/>
      <c r="S21" s="1"/>
    </row>
    <row r="22" spans="1:19" ht="12.75">
      <c r="A22" s="11" t="s">
        <v>46</v>
      </c>
      <c r="B22" s="12">
        <f>Лист1!B15</f>
        <v>4165.1</v>
      </c>
      <c r="C22" s="61">
        <f>Лист1!C15</f>
        <v>36028.115000000005</v>
      </c>
      <c r="D22" s="32">
        <f>Лист1!D15</f>
        <v>4503.514375000001</v>
      </c>
      <c r="E22" s="34">
        <f>Лист1!S15</f>
        <v>24945.5</v>
      </c>
      <c r="F22" s="17">
        <f>Лист1!T15</f>
        <v>4669.3099999999995</v>
      </c>
      <c r="G22" s="82">
        <f>Лист1!AF15</f>
        <v>906.3285</v>
      </c>
      <c r="H22" s="33">
        <f>Лист1!AB15</f>
        <v>21181.129999999997</v>
      </c>
      <c r="I22" s="82">
        <f>Лист1!AB15</f>
        <v>21181.129999999997</v>
      </c>
      <c r="J22" s="33">
        <f>Лист1!AG15</f>
        <v>2249.154</v>
      </c>
      <c r="K22" s="17">
        <f>Лист1!AI15+Лист1!AJ15</f>
        <v>3617.7975297999997</v>
      </c>
      <c r="L22" s="17">
        <f>Лист1!AH15+Лист1!AK15+Лист1!AL15+Лист1!AM15+Лист1!AN15+Лист1!AO15+Лист1!AP15+Лист1!AQ15+Лист1!AR15</f>
        <v>12456.859792288</v>
      </c>
      <c r="M22" s="18">
        <f>Лист1!AS15+Лист1!AT15+Лист1!AU15</f>
        <v>12249.58</v>
      </c>
      <c r="N22" s="18">
        <f>Лист1!AX15</f>
        <v>1337.4592</v>
      </c>
      <c r="O22" s="81">
        <f>Лист1!BB15</f>
        <v>30573.391322088</v>
      </c>
      <c r="P22" s="34">
        <f>Лист1!BD15</f>
        <v>300.9866489119986</v>
      </c>
      <c r="Q22" s="19">
        <f>Лист1!BE15</f>
        <v>-3764.3700000000026</v>
      </c>
      <c r="R22" s="1"/>
      <c r="S22" s="1"/>
    </row>
    <row r="23" spans="1:19" ht="12.75">
      <c r="A23" s="11" t="s">
        <v>47</v>
      </c>
      <c r="B23" s="12">
        <f>Лист1!B16</f>
        <v>4165.1</v>
      </c>
      <c r="C23" s="61">
        <f>Лист1!C16</f>
        <v>36028.115000000005</v>
      </c>
      <c r="D23" s="32">
        <f>Лист1!D16</f>
        <v>4503.514375000001</v>
      </c>
      <c r="E23" s="34">
        <f>Лист1!S16</f>
        <v>24824.389999999996</v>
      </c>
      <c r="F23" s="17">
        <f>Лист1!T16</f>
        <v>4669.3099999999995</v>
      </c>
      <c r="G23" s="82">
        <f>Лист1!AF16</f>
        <v>906.3285</v>
      </c>
      <c r="H23" s="33">
        <f>Лист1!AB16</f>
        <v>24861.149999999998</v>
      </c>
      <c r="I23" s="82">
        <f>Лист1!AB16</f>
        <v>24861.149999999998</v>
      </c>
      <c r="J23" s="33">
        <f>Лист1!AG16</f>
        <v>2249.154</v>
      </c>
      <c r="K23" s="17">
        <f>Лист1!AI16+Лист1!AJ16</f>
        <v>3624.0639227500005</v>
      </c>
      <c r="L23" s="17">
        <f>Лист1!AH16+Лист1!AK16+Лист1!AL16+Лист1!AM16+Лист1!AN16+Лист1!AO16+Лист1!AP16+Лист1!AQ16+Лист1!AR16</f>
        <v>32117.782200398</v>
      </c>
      <c r="M23" s="18">
        <f>Лист1!AS16+Лист1!AT16+Лист1!AU16</f>
        <v>14669.76</v>
      </c>
      <c r="N23" s="18">
        <f>Лист1!AX16</f>
        <v>1128.6464</v>
      </c>
      <c r="O23" s="81">
        <f>Лист1!BB16</f>
        <v>52660.76012314799</v>
      </c>
      <c r="P23" s="34">
        <f>Лист1!BD16</f>
        <v>-18098.26798639799</v>
      </c>
      <c r="Q23" s="19">
        <f>Лист1!BE16</f>
        <v>36.76000000000204</v>
      </c>
      <c r="R23" s="1"/>
      <c r="S23" s="1"/>
    </row>
    <row r="24" spans="1:19" ht="12.75">
      <c r="A24" s="11" t="s">
        <v>48</v>
      </c>
      <c r="B24" s="12">
        <f>Лист1!B17</f>
        <v>4165.1</v>
      </c>
      <c r="C24" s="61">
        <f>Лист1!C17</f>
        <v>36028.115000000005</v>
      </c>
      <c r="D24" s="32">
        <f>Лист1!D17</f>
        <v>4503.514375000001</v>
      </c>
      <c r="E24" s="34">
        <f>Лист1!S17</f>
        <v>24944.75</v>
      </c>
      <c r="F24" s="17">
        <f>Лист1!T17</f>
        <v>4669.3099999999995</v>
      </c>
      <c r="G24" s="82">
        <f>Лист1!AF17</f>
        <v>1899.99411</v>
      </c>
      <c r="H24" s="33">
        <f>Лист1!AB17</f>
        <v>22266.510000000002</v>
      </c>
      <c r="I24" s="82">
        <f>Лист1!AB17</f>
        <v>22266.510000000002</v>
      </c>
      <c r="J24" s="33">
        <f>Лист1!AG17</f>
        <v>2249.154</v>
      </c>
      <c r="K24" s="17">
        <f>Лист1!AI17+Лист1!AJ17</f>
        <v>3732.2636410200003</v>
      </c>
      <c r="L24" s="17">
        <f>Лист1!AH17+Лист1!AK17+Лист1!AL17+Лист1!AM17+Лист1!AN17+Лист1!AO17+Лист1!AP17+Лист1!AQ17+Лист1!AR17</f>
        <v>15449.046009736003</v>
      </c>
      <c r="M24" s="18">
        <f>Лист1!AS17+Лист1!AT17+Лист1!AU17</f>
        <v>11052.47</v>
      </c>
      <c r="N24" s="18">
        <f>Лист1!AX17</f>
        <v>5242.787200000001</v>
      </c>
      <c r="O24" s="81">
        <f>Лист1!BB17</f>
        <v>37725.720850756</v>
      </c>
      <c r="P24" s="34">
        <f>Лист1!BD17</f>
        <v>-5201.017927575994</v>
      </c>
      <c r="Q24" s="19">
        <f>Лист1!BE17</f>
        <v>-2678.239999999998</v>
      </c>
      <c r="R24" s="1"/>
      <c r="S24" s="1"/>
    </row>
    <row r="25" spans="1:19" ht="12.75">
      <c r="A25" s="11" t="s">
        <v>49</v>
      </c>
      <c r="B25" s="12">
        <f>Лист1!B18</f>
        <v>4165.1</v>
      </c>
      <c r="C25" s="61">
        <f>Лист1!C18</f>
        <v>36028.115000000005</v>
      </c>
      <c r="D25" s="32">
        <f>Лист1!D18</f>
        <v>3357.1850000000036</v>
      </c>
      <c r="E25" s="34">
        <f>Лист1!S18</f>
        <v>27398.3</v>
      </c>
      <c r="F25" s="17">
        <f>Лист1!T18</f>
        <v>5272.629999999999</v>
      </c>
      <c r="G25" s="82">
        <f>Лист1!AF18</f>
        <v>1899.99411</v>
      </c>
      <c r="H25" s="33">
        <f>Лист1!AB18</f>
        <v>21554.129999999997</v>
      </c>
      <c r="I25" s="82">
        <f>Лист1!AB18</f>
        <v>21554.129999999997</v>
      </c>
      <c r="J25" s="33">
        <f>Лист1!AG18</f>
        <v>2499.06</v>
      </c>
      <c r="K25" s="17">
        <f>Лист1!AI18+Лист1!AJ18</f>
        <v>4177.5953</v>
      </c>
      <c r="L25" s="17">
        <f>Лист1!AH18+Лист1!AK18+Лист1!AL18+Лист1!AM18+Лист1!AN18+Лист1!AO18+Лист1!AP18+Лист1!AQ18+Лист1!AR18</f>
        <v>14307.951520000002</v>
      </c>
      <c r="M25" s="18">
        <f>Лист1!AS18+Лист1!AT18+Лист1!AU18</f>
        <v>8314.6458</v>
      </c>
      <c r="N25" s="18">
        <f>Лист1!AX18</f>
        <v>885.4720000000001</v>
      </c>
      <c r="O25" s="81">
        <f>Лист1!BB18</f>
        <v>30184.724620000005</v>
      </c>
      <c r="P25" s="34">
        <f>Лист1!BD18</f>
        <v>989.8813692629947</v>
      </c>
      <c r="Q25" s="19">
        <f>Лист1!BE18</f>
        <v>-5844.170000000002</v>
      </c>
      <c r="R25" s="1"/>
      <c r="S25" s="1"/>
    </row>
    <row r="26" spans="1:19" ht="12.75">
      <c r="A26" s="11" t="s">
        <v>50</v>
      </c>
      <c r="B26" s="12">
        <f>Лист1!B19</f>
        <v>4165.1</v>
      </c>
      <c r="C26" s="61">
        <f>Лист1!C19</f>
        <v>36028.115000000005</v>
      </c>
      <c r="D26" s="32">
        <f>Лист1!D19</f>
        <v>3857.415000000009</v>
      </c>
      <c r="E26" s="34">
        <f>Лист1!S19</f>
        <v>26835.64</v>
      </c>
      <c r="F26" s="17">
        <f>Лист1!T19</f>
        <v>5335.06</v>
      </c>
      <c r="G26" s="82">
        <f>Лист1!AF19</f>
        <v>1899.99411</v>
      </c>
      <c r="H26" s="33">
        <f>Лист1!AB19</f>
        <v>27370.199999999997</v>
      </c>
      <c r="I26" s="82">
        <f>Лист1!AB19</f>
        <v>27370.199999999997</v>
      </c>
      <c r="J26" s="33">
        <f>Лист1!AG19</f>
        <v>2499.06</v>
      </c>
      <c r="K26" s="17">
        <f>Лист1!AI19+Лист1!AJ19</f>
        <v>4177.5953</v>
      </c>
      <c r="L26" s="17">
        <f>Лист1!AH19+Лист1!AK19+Лист1!AL19+Лист1!AM19+Лист1!AN19+Лист1!AO19+Лист1!AP19+Лист1!AQ19+Лист1!AR19</f>
        <v>14308.338179000002</v>
      </c>
      <c r="M26" s="18">
        <f>Лист1!AS19+Лист1!AT19+Лист1!AU19</f>
        <v>12952.104800000001</v>
      </c>
      <c r="N26" s="18">
        <f>Лист1!AX19</f>
        <v>1059.9232000000002</v>
      </c>
      <c r="O26" s="81">
        <f>Лист1!BB19</f>
        <v>34997.021478999995</v>
      </c>
      <c r="P26" s="34">
        <f>Лист1!BD19</f>
        <v>2604.754865670007</v>
      </c>
      <c r="Q26" s="19">
        <f>Лист1!BE19</f>
        <v>534.5599999999977</v>
      </c>
      <c r="R26" s="1"/>
      <c r="S26" s="1"/>
    </row>
    <row r="27" spans="1:19" ht="12.75">
      <c r="A27" s="11" t="s">
        <v>51</v>
      </c>
      <c r="B27" s="12">
        <f>Лист1!B20</f>
        <v>4164.9</v>
      </c>
      <c r="C27" s="61">
        <f>Лист1!C20</f>
        <v>36026.384999999995</v>
      </c>
      <c r="D27" s="32">
        <f>Лист1!D20</f>
        <v>6774.204999999998</v>
      </c>
      <c r="E27" s="34">
        <f>Лист1!S20</f>
        <v>23939.58</v>
      </c>
      <c r="F27" s="17">
        <f>Лист1!T20</f>
        <v>5312.6</v>
      </c>
      <c r="G27" s="82">
        <f>Лист1!AF20</f>
        <v>1899.99411</v>
      </c>
      <c r="H27" s="33">
        <f>Лист1!AB20</f>
        <v>25554.97</v>
      </c>
      <c r="I27" s="82">
        <f>Лист1!AB20</f>
        <v>25554.97</v>
      </c>
      <c r="J27" s="33">
        <f>Лист1!AG20</f>
        <v>2498.9399999999996</v>
      </c>
      <c r="K27" s="17">
        <f>Лист1!AI20+Лист1!AJ20</f>
        <v>4117.6579557899995</v>
      </c>
      <c r="L27" s="17">
        <f>Лист1!AH20+Лист1!AK20+Лист1!AL20+Лист1!AM20+Лист1!AN20+Лист1!AO20+Лист1!AP20+Лист1!AQ20+Лист1!AR20</f>
        <v>14165.279790378</v>
      </c>
      <c r="M27" s="18">
        <f>Лист1!AS20+Лист1!AT20+Лист1!AU20</f>
        <v>20860.028199999997</v>
      </c>
      <c r="N27" s="18">
        <f>Лист1!AX20</f>
        <v>788.9952000000001</v>
      </c>
      <c r="O27" s="81">
        <f>Лист1!BB20</f>
        <v>42430.90114616799</v>
      </c>
      <c r="P27" s="34">
        <f>Лист1!BD20</f>
        <v>-3786.99203383799</v>
      </c>
      <c r="Q27" s="19">
        <f>Лист1!BE20</f>
        <v>1615.3899999999994</v>
      </c>
      <c r="R27" s="1"/>
      <c r="S27" s="1"/>
    </row>
    <row r="28" spans="1:19" ht="12.75">
      <c r="A28" s="11" t="s">
        <v>52</v>
      </c>
      <c r="B28" s="12">
        <f>Лист1!B21</f>
        <v>4164.9</v>
      </c>
      <c r="C28" s="61">
        <f>Лист1!C21</f>
        <v>36026.384999999995</v>
      </c>
      <c r="D28" s="32">
        <f>Лист1!D21</f>
        <v>3302.9749999999904</v>
      </c>
      <c r="E28" s="34">
        <f>Лист1!S21</f>
        <v>27411.760000000002</v>
      </c>
      <c r="F28" s="17">
        <f>Лист1!T21</f>
        <v>5311.65</v>
      </c>
      <c r="G28" s="82">
        <f>Лист1!AF21</f>
        <v>3271.93819</v>
      </c>
      <c r="H28" s="33">
        <f>Лист1!AB21</f>
        <v>25075.239999999998</v>
      </c>
      <c r="I28" s="82">
        <f>Лист1!AB21</f>
        <v>25075.239999999998</v>
      </c>
      <c r="J28" s="33">
        <f>Лист1!AG21</f>
        <v>2498.9399999999996</v>
      </c>
      <c r="K28" s="17">
        <f>Лист1!AI21+Лист1!AJ21</f>
        <v>4115.819902121999</v>
      </c>
      <c r="L28" s="17">
        <f>Лист1!AH21+Лист1!AK21+Лист1!AL21+Лист1!AM21+Лист1!AN21+Лист1!AO21+Лист1!AP21+Лист1!AQ21+Лист1!AR21</f>
        <v>32571.245708199996</v>
      </c>
      <c r="M28" s="18">
        <f>Лист1!AS21+Лист1!AT21+Лист1!AU21</f>
        <v>1499.78</v>
      </c>
      <c r="N28" s="18">
        <f>Лист1!AX21</f>
        <v>750.6688</v>
      </c>
      <c r="O28" s="81">
        <f>Лист1!BB21</f>
        <v>41436.454410321996</v>
      </c>
      <c r="P28" s="34">
        <f>Лист1!BD21</f>
        <v>-5920.070507241005</v>
      </c>
      <c r="Q28" s="19">
        <f>Лист1!BE21</f>
        <v>-2336.520000000004</v>
      </c>
      <c r="R28" s="1"/>
      <c r="S28" s="1"/>
    </row>
    <row r="29" spans="1:19" ht="12.75">
      <c r="A29" s="11" t="s">
        <v>53</v>
      </c>
      <c r="B29" s="12">
        <f>Лист1!B22</f>
        <v>4164.9</v>
      </c>
      <c r="C29" s="61">
        <f>Лист1!C22</f>
        <v>36026.384999999995</v>
      </c>
      <c r="D29" s="32">
        <f>Лист1!D22</f>
        <v>3284.5549999999903</v>
      </c>
      <c r="E29" s="34">
        <f>Лист1!S22</f>
        <v>27477.34</v>
      </c>
      <c r="F29" s="17">
        <f>Лист1!T22</f>
        <v>5264.490000000001</v>
      </c>
      <c r="G29" s="82">
        <f>Лист1!AF22</f>
        <v>3271.93819</v>
      </c>
      <c r="H29" s="33">
        <f>Лист1!AB22</f>
        <v>25760.9</v>
      </c>
      <c r="I29" s="82">
        <f>Лист1!AB22</f>
        <v>25760.9</v>
      </c>
      <c r="J29" s="33">
        <f>Лист1!AG22</f>
        <v>2498.9399999999996</v>
      </c>
      <c r="K29" s="17">
        <f>Лист1!AI22+Лист1!AJ22</f>
        <v>4115.109745023</v>
      </c>
      <c r="L29" s="17">
        <f>Лист1!AH22+Лист1!AK22+Лист1!AL22+Лист1!AM22+Лист1!AN22+Лист1!AO22+Лист1!AP22+Лист1!AQ22+Лист1!AR22</f>
        <v>14161.466707810798</v>
      </c>
      <c r="M29" s="18">
        <f>Лист1!AS22+Лист1!AT22+Лист1!AU22</f>
        <v>0</v>
      </c>
      <c r="N29" s="18">
        <f>Лист1!AX22</f>
        <v>1174.9024</v>
      </c>
      <c r="O29" s="81">
        <f>Лист1!BB22</f>
        <v>21950.418852833795</v>
      </c>
      <c r="P29" s="34">
        <f>Лист1!BD22</f>
        <v>14186.263661301098</v>
      </c>
      <c r="Q29" s="19">
        <f>Лист1!BE22</f>
        <v>-1716.4399999999987</v>
      </c>
      <c r="R29" s="1"/>
      <c r="S29" s="1"/>
    </row>
    <row r="30" spans="1:19" ht="12.75">
      <c r="A30" s="11" t="s">
        <v>41</v>
      </c>
      <c r="B30" s="12">
        <f>Лист1!B23</f>
        <v>4164.9</v>
      </c>
      <c r="C30" s="61">
        <f>Лист1!C23</f>
        <v>36026.384999999995</v>
      </c>
      <c r="D30" s="32">
        <f>Лист1!D23</f>
        <v>3274.9249999999984</v>
      </c>
      <c r="E30" s="34">
        <f>Лист1!S23</f>
        <v>27475.97</v>
      </c>
      <c r="F30" s="17">
        <f>Лист1!T23</f>
        <v>5275.49</v>
      </c>
      <c r="G30" s="82">
        <f>Лист1!AF23</f>
        <v>4410.06707</v>
      </c>
      <c r="H30" s="33">
        <f>Лист1!AB23</f>
        <v>31568.2</v>
      </c>
      <c r="I30" s="82">
        <f>Лист1!AB23</f>
        <v>31568.2</v>
      </c>
      <c r="J30" s="33">
        <f>Лист1!AG23</f>
        <v>2498.9399999999996</v>
      </c>
      <c r="K30" s="17">
        <f>Лист1!AI23+Лист1!AJ23</f>
        <v>4162.650954</v>
      </c>
      <c r="L30" s="17">
        <f>Лист1!AH23+Лист1!AK23+Лист1!AL23+Лист1!AM23+Лист1!AN23+Лист1!AO23+Лист1!AP23+Лист1!AQ23+Лист1!AR23</f>
        <v>14283.10806</v>
      </c>
      <c r="M30" s="18">
        <f>Лист1!AS23+Лист1!AT23+Лист1!AU23</f>
        <v>145.3878</v>
      </c>
      <c r="N30" s="18">
        <f>Лист1!AX23</f>
        <v>1071.8176</v>
      </c>
      <c r="O30" s="81">
        <f>Лист1!BB23</f>
        <v>22161.904413999993</v>
      </c>
      <c r="P30" s="34">
        <f>Лист1!BD23</f>
        <v>20368.563717</v>
      </c>
      <c r="Q30" s="19">
        <f>Лист1!BE23</f>
        <v>4092.2299999999996</v>
      </c>
      <c r="R30" s="1"/>
      <c r="S30" s="1"/>
    </row>
    <row r="31" spans="1:19" ht="12.75">
      <c r="A31" s="11" t="s">
        <v>42</v>
      </c>
      <c r="B31" s="12">
        <f>Лист1!B24</f>
        <v>4164.9</v>
      </c>
      <c r="C31" s="61">
        <f>Лист1!C24</f>
        <v>36026.384999999995</v>
      </c>
      <c r="D31" s="32">
        <f>Лист1!D24</f>
        <v>3292.1849999999977</v>
      </c>
      <c r="E31" s="34">
        <f>Лист1!S24</f>
        <v>27308.12</v>
      </c>
      <c r="F31" s="17">
        <f>Лист1!T24</f>
        <v>5426.08</v>
      </c>
      <c r="G31" s="82">
        <f>Лист1!AF24</f>
        <v>4410.077069999999</v>
      </c>
      <c r="H31" s="33">
        <f>Лист1!AB24</f>
        <v>25895.79</v>
      </c>
      <c r="I31" s="82">
        <f>Лист1!AB24</f>
        <v>25895.79</v>
      </c>
      <c r="J31" s="33">
        <f>Лист1!AG24</f>
        <v>2498.9399999999996</v>
      </c>
      <c r="K31" s="17">
        <f>Лист1!AI24+Лист1!AJ24</f>
        <v>4177.394699999999</v>
      </c>
      <c r="L31" s="17">
        <f>Лист1!AH24+Лист1!AK24+Лист1!AL24+Лист1!AM24+Лист1!AN24+Лист1!AO24+Лист1!AP24+Лист1!AQ24+Лист1!AR24</f>
        <v>14298.93468</v>
      </c>
      <c r="M31" s="18">
        <f>Лист1!AS24+Лист1!AT24+Лист1!AU24</f>
        <v>5268.7</v>
      </c>
      <c r="N31" s="18">
        <f>Лист1!AX24</f>
        <v>1155.0784</v>
      </c>
      <c r="O31" s="81">
        <f>Лист1!BB24</f>
        <v>39199.04777999999</v>
      </c>
      <c r="P31" s="34">
        <f>Лист1!BD24</f>
        <v>-2175.9295399999937</v>
      </c>
      <c r="Q31" s="19">
        <f>Лист1!BE24</f>
        <v>-1412.329999999998</v>
      </c>
      <c r="R31" s="1"/>
      <c r="S31" s="1"/>
    </row>
    <row r="32" spans="1:19" ht="12.75">
      <c r="A32" s="11" t="s">
        <v>43</v>
      </c>
      <c r="B32" s="12">
        <f>Лист1!B25</f>
        <v>4164.9</v>
      </c>
      <c r="C32" s="61">
        <f>Лист1!C25</f>
        <v>36026.384999999995</v>
      </c>
      <c r="D32" s="32">
        <f>Лист1!D25</f>
        <v>3339.554999999995</v>
      </c>
      <c r="E32" s="34">
        <f>Лист1!S25</f>
        <v>27053.979999999996</v>
      </c>
      <c r="F32" s="17">
        <f>Лист1!T25</f>
        <v>5632.85</v>
      </c>
      <c r="G32" s="82">
        <f>Лист1!AF25</f>
        <v>4902.25091</v>
      </c>
      <c r="H32" s="33">
        <f>Лист1!AB25</f>
        <v>34078.14</v>
      </c>
      <c r="I32" s="82">
        <f>Лист1!AB25</f>
        <v>34078.14</v>
      </c>
      <c r="J32" s="33">
        <f>Лист1!AG25</f>
        <v>2498.9399999999996</v>
      </c>
      <c r="K32" s="17">
        <f>Лист1!AI25+Лист1!AJ25</f>
        <v>4177.394699999999</v>
      </c>
      <c r="L32" s="17">
        <f>Лист1!AH25+Лист1!AK25+Лист1!AL25+Лист1!AM25+Лист1!AN25+Лист1!AO25+Лист1!AP25+Лист1!AQ25+Лист1!AR25</f>
        <v>14298.93468</v>
      </c>
      <c r="M32" s="18">
        <f>Лист1!AS25+Лист1!AT25+Лист1!AU25</f>
        <v>8715.7986</v>
      </c>
      <c r="N32" s="18">
        <f>Лист1!AX25</f>
        <v>1416.7552</v>
      </c>
      <c r="O32" s="81">
        <f>Лист1!BB25</f>
        <v>61787.82318</v>
      </c>
      <c r="P32" s="34">
        <f>Лист1!BD25</f>
        <v>-16070.62286</v>
      </c>
      <c r="Q32" s="19">
        <f>Лист1!BE25</f>
        <v>7024.1600000000035</v>
      </c>
      <c r="R32" s="1"/>
      <c r="S32" s="1"/>
    </row>
    <row r="33" spans="1:19" s="25" customFormat="1" ht="13.5" thickBot="1">
      <c r="A33" s="173" t="s">
        <v>5</v>
      </c>
      <c r="B33" s="70"/>
      <c r="C33" s="70">
        <f aca="true" t="shared" si="1" ref="C33:Q33">SUM(C21:C32)</f>
        <v>432327.00000000006</v>
      </c>
      <c r="D33" s="83">
        <f t="shared" si="1"/>
        <v>48497.05749999998</v>
      </c>
      <c r="E33" s="79">
        <f t="shared" si="1"/>
        <v>314320.1</v>
      </c>
      <c r="F33" s="70">
        <f t="shared" si="1"/>
        <v>61356.54</v>
      </c>
      <c r="G33" s="71">
        <f>SUM(G21:G32)</f>
        <v>30585.233369999998</v>
      </c>
      <c r="H33" s="77">
        <f t="shared" si="1"/>
        <v>302191.47</v>
      </c>
      <c r="I33" s="71">
        <f t="shared" si="1"/>
        <v>302191.47</v>
      </c>
      <c r="J33" s="77">
        <f t="shared" si="1"/>
        <v>28988.375999999993</v>
      </c>
      <c r="K33" s="70">
        <f t="shared" si="1"/>
        <v>47817.29517560499</v>
      </c>
      <c r="L33" s="70">
        <f t="shared" si="1"/>
        <v>204858.2580543628</v>
      </c>
      <c r="M33" s="70">
        <f t="shared" si="1"/>
        <v>97013.28519999998</v>
      </c>
      <c r="N33" s="70">
        <f t="shared" si="1"/>
        <v>17730.585600000002</v>
      </c>
      <c r="O33" s="83">
        <f t="shared" si="1"/>
        <v>434703.61442996777</v>
      </c>
      <c r="P33" s="79">
        <f>SUM(P21:P32)</f>
        <v>-5830.497841058877</v>
      </c>
      <c r="Q33" s="71">
        <f t="shared" si="1"/>
        <v>-12128.630000000008</v>
      </c>
      <c r="R33" s="35"/>
      <c r="S33" s="35"/>
    </row>
    <row r="34" spans="1:19" s="25" customFormat="1" ht="13.5" thickBot="1">
      <c r="A34" s="130"/>
      <c r="B34" s="131"/>
      <c r="C34" s="156">
        <f aca="true" t="shared" si="2" ref="C34:P34">C33+C19</f>
        <v>540411.3450000001</v>
      </c>
      <c r="D34" s="156">
        <f t="shared" si="2"/>
        <v>74513.31962264999</v>
      </c>
      <c r="E34" s="156">
        <f t="shared" si="2"/>
        <v>388411.33999999997</v>
      </c>
      <c r="F34" s="156">
        <f t="shared" si="2"/>
        <v>75138.77</v>
      </c>
      <c r="G34" s="156">
        <f t="shared" si="2"/>
        <v>30585.233369999998</v>
      </c>
      <c r="H34" s="156">
        <f t="shared" si="2"/>
        <v>344283.52999999997</v>
      </c>
      <c r="I34" s="156">
        <f t="shared" si="2"/>
        <v>344283.52999999997</v>
      </c>
      <c r="J34" s="156">
        <f t="shared" si="2"/>
        <v>36485.556</v>
      </c>
      <c r="K34" s="156">
        <f t="shared" si="2"/>
        <v>60364.40874416499</v>
      </c>
      <c r="L34" s="156">
        <f t="shared" si="2"/>
        <v>248847.04925590582</v>
      </c>
      <c r="M34" s="156">
        <f t="shared" si="2"/>
        <v>158584.163</v>
      </c>
      <c r="N34" s="156">
        <f t="shared" si="2"/>
        <v>17730.585600000002</v>
      </c>
      <c r="O34" s="156">
        <f t="shared" si="2"/>
        <v>560307.5770000708</v>
      </c>
      <c r="P34" s="156">
        <f t="shared" si="2"/>
        <v>-49543.90828851187</v>
      </c>
      <c r="Q34" s="156">
        <f>Q33+Q19</f>
        <v>-44127.81000000001</v>
      </c>
      <c r="R34" s="35"/>
      <c r="S34" s="35"/>
    </row>
    <row r="35" spans="1:19" ht="12.75">
      <c r="A35" s="54" t="s">
        <v>76</v>
      </c>
      <c r="B35" s="65"/>
      <c r="C35" s="66"/>
      <c r="D35" s="86"/>
      <c r="E35" s="78"/>
      <c r="F35" s="67"/>
      <c r="G35" s="85"/>
      <c r="H35" s="76"/>
      <c r="I35" s="85"/>
      <c r="J35" s="76"/>
      <c r="K35" s="67"/>
      <c r="L35" s="67"/>
      <c r="M35" s="68"/>
      <c r="N35" s="68"/>
      <c r="O35" s="84"/>
      <c r="P35" s="78"/>
      <c r="Q35" s="69"/>
      <c r="R35" s="1"/>
      <c r="S35" s="1"/>
    </row>
    <row r="36" spans="1:19" ht="12.75">
      <c r="A36" s="11" t="s">
        <v>45</v>
      </c>
      <c r="B36" s="12">
        <f>Лист1!B29</f>
        <v>4164.9</v>
      </c>
      <c r="C36" s="61">
        <f>Лист1!C29</f>
        <v>36026.384999999995</v>
      </c>
      <c r="D36" s="32">
        <f>Лист1!D29</f>
        <v>3311.5049999999947</v>
      </c>
      <c r="E36" s="34">
        <f>Лист1!S29</f>
        <v>27337.319999999996</v>
      </c>
      <c r="F36" s="17">
        <f>Лист1!T29</f>
        <v>5377.56</v>
      </c>
      <c r="G36" s="82">
        <f>Лист1!AF29</f>
        <v>4410.077069999999</v>
      </c>
      <c r="H36" s="33">
        <f>Лист1!AB29</f>
        <v>20642.51</v>
      </c>
      <c r="I36" s="82">
        <f>Лист1!AB29</f>
        <v>20642.51</v>
      </c>
      <c r="J36" s="33">
        <f>Лист1!AG29</f>
        <v>2498.9399999999996</v>
      </c>
      <c r="K36" s="17">
        <f>Лист1!AI29+Лист1!AJ29</f>
        <v>4164.9</v>
      </c>
      <c r="L36" s="17">
        <f>Лист1!AH29+Лист1!AK29+Лист1!AL29+Лист1!AM29+Лист1!AN29+Лист1!AO29+Лист1!AP29+Лист1!AQ29+Лист1!AR29</f>
        <v>14285.607</v>
      </c>
      <c r="M36" s="18">
        <f>Лист1!AS29+Лист1!AT29+Лист1!AU29</f>
        <v>3145</v>
      </c>
      <c r="N36" s="18">
        <f>Лист1!AX29</f>
        <v>1351</v>
      </c>
      <c r="O36" s="81">
        <f>Лист1!BB29</f>
        <v>51482.147</v>
      </c>
      <c r="P36" s="34">
        <f>Лист1!BD29</f>
        <v>-19739.13943</v>
      </c>
      <c r="Q36" s="19">
        <f>Лист1!BE29</f>
        <v>-6694.809999999998</v>
      </c>
      <c r="R36" s="1"/>
      <c r="S36" s="1"/>
    </row>
    <row r="37" spans="1:19" ht="12.75">
      <c r="A37" s="11" t="s">
        <v>46</v>
      </c>
      <c r="B37" s="12">
        <f>Лист1!B30</f>
        <v>4164.9</v>
      </c>
      <c r="C37" s="61">
        <f>Лист1!C30</f>
        <v>36026.384999999995</v>
      </c>
      <c r="D37" s="32">
        <f>Лист1!D30</f>
        <v>3312.6549999999997</v>
      </c>
      <c r="E37" s="34">
        <f>Лист1!S30</f>
        <v>27167.300000000003</v>
      </c>
      <c r="F37" s="17">
        <f>Лист1!T30</f>
        <v>5546.429999999999</v>
      </c>
      <c r="G37" s="82">
        <f>Лист1!AF30</f>
        <v>4410.077069999999</v>
      </c>
      <c r="H37" s="33">
        <f>Лист1!AB30</f>
        <v>24989.38</v>
      </c>
      <c r="I37" s="82">
        <f>Лист1!AB30</f>
        <v>24989.38</v>
      </c>
      <c r="J37" s="33">
        <f>Лист1!AG30</f>
        <v>2498.9399999999996</v>
      </c>
      <c r="K37" s="17">
        <f>Лист1!AI30+Лист1!AJ30</f>
        <v>4164.9</v>
      </c>
      <c r="L37" s="17">
        <f>Лист1!AH30+Лист1!AK30+Лист1!AL30+Лист1!AM30+Лист1!AN30+Лист1!AO30+Лист1!AP30+Лист1!AQ30+Лист1!AR30</f>
        <v>14285.607</v>
      </c>
      <c r="M37" s="18">
        <f>Лист1!AS30+Лист1!AT30+Лист1!AU30</f>
        <v>3773</v>
      </c>
      <c r="N37" s="18">
        <f>Лист1!AX30</f>
        <v>1391.6</v>
      </c>
      <c r="O37" s="81">
        <f>Лист1!BB30</f>
        <v>26114.047</v>
      </c>
      <c r="P37" s="34">
        <f>Лист1!BD30</f>
        <v>10145.850569999997</v>
      </c>
      <c r="Q37" s="19">
        <f>Лист1!BE30</f>
        <v>-2177.920000000002</v>
      </c>
      <c r="R37" s="1"/>
      <c r="S37" s="1"/>
    </row>
    <row r="38" spans="1:19" ht="12.75">
      <c r="A38" s="11" t="s">
        <v>47</v>
      </c>
      <c r="B38" s="12">
        <f>Лист1!B31</f>
        <v>4164.4</v>
      </c>
      <c r="C38" s="61">
        <f>Лист1!C31</f>
        <v>36022.06</v>
      </c>
      <c r="D38" s="32">
        <f>Лист1!D31</f>
        <v>3335.5199999999963</v>
      </c>
      <c r="E38" s="34">
        <f>Лист1!S31</f>
        <v>27224.54</v>
      </c>
      <c r="F38" s="17">
        <f>Лист1!T31</f>
        <v>5462</v>
      </c>
      <c r="G38" s="82">
        <f>Лист1!AF31</f>
        <v>4410.077069999999</v>
      </c>
      <c r="H38" s="33">
        <f>Лист1!AB31</f>
        <v>31352.399999999998</v>
      </c>
      <c r="I38" s="82">
        <f>Лист1!AB31</f>
        <v>31352.399999999998</v>
      </c>
      <c r="J38" s="33">
        <f>Лист1!AG31</f>
        <v>2498.64</v>
      </c>
      <c r="K38" s="17">
        <f>Лист1!AI31+Лист1!AJ31</f>
        <v>4164.4</v>
      </c>
      <c r="L38" s="17">
        <f>Лист1!AH31+Лист1!AK31+Лист1!AL31+Лист1!AM31+Лист1!AN31+Лист1!AO31+Лист1!AP31+Лист1!AQ31+Лист1!AR31</f>
        <v>14283.892</v>
      </c>
      <c r="M38" s="18">
        <f>Лист1!AS31+Лист1!AT31+Лист1!AU31</f>
        <v>11549</v>
      </c>
      <c r="N38" s="18">
        <f>Лист1!AX31</f>
        <v>1113</v>
      </c>
      <c r="O38" s="81">
        <f>Лист1!BB31</f>
        <v>33608.932</v>
      </c>
      <c r="P38" s="34">
        <f>Лист1!BD31</f>
        <v>8952.420569999997</v>
      </c>
      <c r="Q38" s="19">
        <f>Лист1!BE31</f>
        <v>4127.859999999997</v>
      </c>
      <c r="R38" s="1"/>
      <c r="S38" s="1"/>
    </row>
    <row r="39" spans="1:19" ht="12.75">
      <c r="A39" s="11" t="s">
        <v>48</v>
      </c>
      <c r="B39" s="12">
        <f>Лист1!B32</f>
        <v>4164.4</v>
      </c>
      <c r="C39" s="61">
        <f>Лист1!C32</f>
        <v>36022.06</v>
      </c>
      <c r="D39" s="32">
        <f>Лист1!D32</f>
        <v>3312.670000000001</v>
      </c>
      <c r="E39" s="34">
        <f>Лист1!S32</f>
        <v>27247.390000000003</v>
      </c>
      <c r="F39" s="17">
        <f>Лист1!T32</f>
        <v>5462</v>
      </c>
      <c r="G39" s="82">
        <f>Лист1!AF32</f>
        <v>4410.077069999999</v>
      </c>
      <c r="H39" s="33">
        <f>Лист1!AB32</f>
        <v>22266.510000000002</v>
      </c>
      <c r="I39" s="82">
        <f>Лист1!AB32</f>
        <v>22266.510000000002</v>
      </c>
      <c r="J39" s="33">
        <f>Лист1!AG32</f>
        <v>2498.64</v>
      </c>
      <c r="K39" s="17">
        <f>Лист1!AI32+Лист1!AJ32</f>
        <v>4164.4</v>
      </c>
      <c r="L39" s="17">
        <f>Лист1!AH32+Лист1!AK32+Лист1!AL32+Лист1!AM32+Лист1!AN32+Лист1!AO32+Лист1!AP32+Лист1!AQ32+Лист1!AR32</f>
        <v>16917.602</v>
      </c>
      <c r="M39" s="18">
        <f>Лист1!AS32+Лист1!AT32+Лист1!AU32</f>
        <v>4760</v>
      </c>
      <c r="N39" s="18">
        <f>Лист1!AX32</f>
        <v>1337</v>
      </c>
      <c r="O39" s="81">
        <f>Лист1!BB32</f>
        <v>29677.642</v>
      </c>
      <c r="P39" s="34">
        <f>Лист1!BD32</f>
        <v>3774.9705700000072</v>
      </c>
      <c r="Q39" s="19">
        <f>Лист1!BE32</f>
        <v>-4980.880000000001</v>
      </c>
      <c r="R39" s="1"/>
      <c r="S39" s="1"/>
    </row>
    <row r="40" spans="1:19" ht="12.75">
      <c r="A40" s="11" t="s">
        <v>49</v>
      </c>
      <c r="B40" s="12">
        <f>Лист1!B33</f>
        <v>4164.82</v>
      </c>
      <c r="C40" s="61">
        <f>Лист1!C33</f>
        <v>36025.693</v>
      </c>
      <c r="D40" s="32">
        <f>Лист1!D33</f>
        <v>3313.193000000004</v>
      </c>
      <c r="E40" s="34">
        <f>Лист1!S33</f>
        <v>27263.89</v>
      </c>
      <c r="F40" s="17">
        <f>Лист1!T33</f>
        <v>5448.61</v>
      </c>
      <c r="G40" s="82">
        <f>Лист1!AF33</f>
        <v>4410.077069999999</v>
      </c>
      <c r="H40" s="33">
        <f>Лист1!AB33</f>
        <v>25994.18</v>
      </c>
      <c r="I40" s="82">
        <f>Лист1!AB33</f>
        <v>25994.18</v>
      </c>
      <c r="J40" s="33">
        <f>Лист1!AG33</f>
        <v>2498.892</v>
      </c>
      <c r="K40" s="17">
        <f>Лист1!AI33+Лист1!AJ33</f>
        <v>4164.82</v>
      </c>
      <c r="L40" s="17">
        <f>Лист1!AH33+Лист1!AK33+Лист1!AL33+Лист1!AM33+Лист1!AN33+Лист1!AO33+Лист1!AP33+Лист1!AQ33+Лист1!AR33</f>
        <v>19002.232599999996</v>
      </c>
      <c r="M40" s="18">
        <f>Лист1!AS33+Лист1!AT33+Лист1!AU33</f>
        <v>17519</v>
      </c>
      <c r="N40" s="18">
        <f>Лист1!AX33</f>
        <v>834.4</v>
      </c>
      <c r="O40" s="81">
        <f>Лист1!BB33</f>
        <v>44019.344600000004</v>
      </c>
      <c r="P40" s="34">
        <f>Лист1!BD33</f>
        <v>-6851.9290299999975</v>
      </c>
      <c r="Q40" s="19">
        <f>Лист1!BE33</f>
        <v>-1269.7099999999991</v>
      </c>
      <c r="R40" s="1"/>
      <c r="S40" s="1"/>
    </row>
    <row r="41" spans="1:19" ht="12.75">
      <c r="A41" s="11" t="s">
        <v>50</v>
      </c>
      <c r="B41" s="12">
        <f>Лист1!B34</f>
        <v>4164.82</v>
      </c>
      <c r="C41" s="61">
        <f>Лист1!C34</f>
        <v>36025.693</v>
      </c>
      <c r="D41" s="32">
        <f>Лист1!D34</f>
        <v>3338.8629999999976</v>
      </c>
      <c r="E41" s="34">
        <f>Лист1!S34</f>
        <v>27238.22</v>
      </c>
      <c r="F41" s="17">
        <f>Лист1!T34</f>
        <v>5448.61</v>
      </c>
      <c r="G41" s="82">
        <f>Лист1!AF34</f>
        <v>4410.077069999999</v>
      </c>
      <c r="H41" s="33">
        <f>Лист1!AB34</f>
        <v>25297.25</v>
      </c>
      <c r="I41" s="82">
        <f>Лист1!AB34</f>
        <v>25297.25</v>
      </c>
      <c r="J41" s="33">
        <f>Лист1!AG34</f>
        <v>2498.892</v>
      </c>
      <c r="K41" s="17">
        <f>Лист1!AI34+Лист1!AJ34</f>
        <v>4164.82</v>
      </c>
      <c r="L41" s="17">
        <f>Лист1!AH34+Лист1!AK34+Лист1!AL34+Лист1!AM34+Лист1!AN34+Лист1!AO34+Лист1!AP34+Лист1!AQ34+Лист1!AR34</f>
        <v>14385.332599999998</v>
      </c>
      <c r="M41" s="18">
        <f>Лист1!AS34+Лист1!AT34+Лист1!AU34</f>
        <v>41283.2244</v>
      </c>
      <c r="N41" s="18">
        <f>Лист1!AX34</f>
        <v>718.1999999999999</v>
      </c>
      <c r="O41" s="81">
        <f>Лист1!BB34</f>
        <v>63050.469</v>
      </c>
      <c r="P41" s="34">
        <f>Лист1!BD34</f>
        <v>-26554.31343</v>
      </c>
      <c r="Q41" s="19">
        <f>Лист1!BE34</f>
        <v>-1940.9700000000012</v>
      </c>
      <c r="R41" s="1"/>
      <c r="S41" s="1"/>
    </row>
    <row r="42" spans="1:19" ht="12.75">
      <c r="A42" s="11" t="s">
        <v>51</v>
      </c>
      <c r="B42" s="12">
        <f>Лист1!B35</f>
        <v>4164.82</v>
      </c>
      <c r="C42" s="61">
        <f>Лист1!C35</f>
        <v>36025.693</v>
      </c>
      <c r="D42" s="32">
        <f>Лист1!D35</f>
        <v>3253.9829999999993</v>
      </c>
      <c r="E42" s="34">
        <f>Лист1!S35</f>
        <v>32771.71000000001</v>
      </c>
      <c r="F42" s="17">
        <f>Лист1!T35</f>
        <v>0</v>
      </c>
      <c r="G42" s="82">
        <f>Лист1!AF35</f>
        <v>4410.077069999999</v>
      </c>
      <c r="H42" s="33">
        <f>Лист1!AB35</f>
        <v>32783.47</v>
      </c>
      <c r="I42" s="82">
        <f>Лист1!AB35</f>
        <v>32783.47</v>
      </c>
      <c r="J42" s="33">
        <f>Лист1!AG35</f>
        <v>2498.892</v>
      </c>
      <c r="K42" s="17">
        <f>Лист1!AI35+Лист1!AJ35</f>
        <v>4164.82</v>
      </c>
      <c r="L42" s="17">
        <f>Лист1!AH35+Лист1!AK35+Лист1!AL35+Лист1!AM35+Лист1!AN35+Лист1!AO35+Лист1!AP35+Лист1!AQ35+Лист1!AR35</f>
        <v>14285.332599999998</v>
      </c>
      <c r="M42" s="18">
        <f>Лист1!AS35+Лист1!AT35+Лист1!AU35</f>
        <v>0</v>
      </c>
      <c r="N42" s="18">
        <f>Лист1!AX35</f>
        <v>912.8</v>
      </c>
      <c r="O42" s="81">
        <f>Лист1!BB35</f>
        <v>21861.8446</v>
      </c>
      <c r="P42" s="34">
        <f>Лист1!BD35</f>
        <v>16587.040970000002</v>
      </c>
      <c r="Q42" s="19">
        <f>Лист1!BE35</f>
        <v>11.759999999994761</v>
      </c>
      <c r="R42" s="1"/>
      <c r="S42" s="1"/>
    </row>
    <row r="43" spans="1:19" ht="12.75">
      <c r="A43" s="11" t="s">
        <v>52</v>
      </c>
      <c r="B43" s="12">
        <f>Лист1!B36</f>
        <v>4164.82</v>
      </c>
      <c r="C43" s="61">
        <f>Лист1!C36</f>
        <v>36025.693</v>
      </c>
      <c r="D43" s="32">
        <f>Лист1!D36</f>
        <v>3277.9430000000016</v>
      </c>
      <c r="E43" s="34">
        <f>Лист1!S36</f>
        <v>32747.75</v>
      </c>
      <c r="F43" s="17">
        <f>Лист1!T36</f>
        <v>0</v>
      </c>
      <c r="G43" s="82">
        <f>Лист1!AF36</f>
        <v>4410.077069999999</v>
      </c>
      <c r="H43" s="33">
        <f>Лист1!AB36</f>
        <v>28882.48</v>
      </c>
      <c r="I43" s="82">
        <f>Лист1!AB36</f>
        <v>28882.48</v>
      </c>
      <c r="J43" s="33">
        <f>Лист1!AG36</f>
        <v>2498.892</v>
      </c>
      <c r="K43" s="17">
        <f>Лист1!AI36+Лист1!AJ36</f>
        <v>4164.82</v>
      </c>
      <c r="L43" s="17">
        <f>Лист1!AH36+Лист1!AK36+Лист1!AL36+Лист1!AM36+Лист1!AN36+Лист1!AO36+Лист1!AP36+Лист1!AQ36+Лист1!AR36</f>
        <v>14285.332599999998</v>
      </c>
      <c r="M43" s="18">
        <f>Лист1!AS36+Лист1!AT36+Лист1!AU36</f>
        <v>5785.404</v>
      </c>
      <c r="N43" s="18">
        <f>Лист1!AX36</f>
        <v>919.8</v>
      </c>
      <c r="O43" s="81">
        <f>Лист1!BB36</f>
        <v>27654.2486</v>
      </c>
      <c r="P43" s="34">
        <f>Лист1!BD36</f>
        <v>6917.606970000003</v>
      </c>
      <c r="Q43" s="19">
        <f>Лист1!BE36</f>
        <v>-3865.2700000000004</v>
      </c>
      <c r="R43" s="1"/>
      <c r="S43" s="1"/>
    </row>
    <row r="44" spans="1:19" ht="12.75">
      <c r="A44" s="11" t="s">
        <v>53</v>
      </c>
      <c r="B44" s="12">
        <f>Лист1!B37</f>
        <v>4164.82</v>
      </c>
      <c r="C44" s="61">
        <f>Лист1!C37</f>
        <v>36025.693</v>
      </c>
      <c r="D44" s="32">
        <f>Лист1!D37</f>
        <v>3290.9329999999986</v>
      </c>
      <c r="E44" s="34">
        <f>Лист1!S37</f>
        <v>32734.76</v>
      </c>
      <c r="F44" s="17">
        <f>Лист1!T37</f>
        <v>0</v>
      </c>
      <c r="G44" s="82">
        <f>Лист1!AF37</f>
        <v>11400.22579</v>
      </c>
      <c r="H44" s="33">
        <f>Лист1!AB37</f>
        <v>30282.23</v>
      </c>
      <c r="I44" s="82">
        <f>Лист1!AB37</f>
        <v>30282.23</v>
      </c>
      <c r="J44" s="33">
        <f>Лист1!AG37</f>
        <v>2498.892</v>
      </c>
      <c r="K44" s="17">
        <f>Лист1!AI37+Лист1!AJ37</f>
        <v>4164.82</v>
      </c>
      <c r="L44" s="17">
        <f>Лист1!AH37+Лист1!AK37+Лист1!AL37+Лист1!AM37+Лист1!AN37+Лист1!AO37+Лист1!AP37+Лист1!AQ37+Лист1!AR37</f>
        <v>14285.332599999998</v>
      </c>
      <c r="M44" s="18">
        <f>Лист1!AS37+Лист1!AT37+Лист1!AU37</f>
        <v>3081</v>
      </c>
      <c r="N44" s="18">
        <f>Лист1!AX37</f>
        <v>1127</v>
      </c>
      <c r="O44" s="81">
        <f>Лист1!BB37</f>
        <v>25157.0446</v>
      </c>
      <c r="P44" s="34">
        <f>Лист1!BD37</f>
        <v>16688.946689999997</v>
      </c>
      <c r="Q44" s="19">
        <f>Лист1!BE37</f>
        <v>-2452.529999999999</v>
      </c>
      <c r="R44" s="1"/>
      <c r="S44" s="1"/>
    </row>
    <row r="45" spans="1:19" ht="12.75">
      <c r="A45" s="11" t="s">
        <v>41</v>
      </c>
      <c r="B45" s="12">
        <f>Лист1!B38</f>
        <v>4164.82</v>
      </c>
      <c r="C45" s="61">
        <f>Лист1!C38</f>
        <v>36025.693</v>
      </c>
      <c r="D45" s="32">
        <f>Лист1!D38</f>
        <v>3291.4829999999984</v>
      </c>
      <c r="E45" s="34">
        <f>Лист1!S38</f>
        <v>32734.209999999995</v>
      </c>
      <c r="F45" s="17">
        <f>Лист1!T38</f>
        <v>0</v>
      </c>
      <c r="G45" s="82">
        <f>Лист1!AF38</f>
        <v>8731.00519</v>
      </c>
      <c r="H45" s="33">
        <f>Лист1!AB38</f>
        <v>31648.890000000003</v>
      </c>
      <c r="I45" s="82">
        <f>Лист1!AB38</f>
        <v>31648.890000000003</v>
      </c>
      <c r="J45" s="33">
        <f>Лист1!AG38</f>
        <v>2498.892</v>
      </c>
      <c r="K45" s="17">
        <f>Лист1!AI38+Лист1!AJ38</f>
        <v>4164.82</v>
      </c>
      <c r="L45" s="17">
        <f>Лист1!AH38+Лист1!AK38+Лист1!AL38+Лист1!AM38+Лист1!AN38+Лист1!AO38+Лист1!AP38+Лист1!AQ38+Лист1!AR38</f>
        <v>14285.332599999998</v>
      </c>
      <c r="M45" s="18">
        <f>Лист1!AS38+Лист1!AT38+Лист1!AU38</f>
        <v>6813</v>
      </c>
      <c r="N45" s="18">
        <f>Лист1!AX38</f>
        <v>1120</v>
      </c>
      <c r="O45" s="81">
        <f>Лист1!BB38</f>
        <v>28882.0446</v>
      </c>
      <c r="P45" s="34">
        <f>Лист1!BD38</f>
        <v>11624.436090000003</v>
      </c>
      <c r="Q45" s="19">
        <f>Лист1!BE38</f>
        <v>-1085.3199999999924</v>
      </c>
      <c r="R45" s="1"/>
      <c r="S45" s="1"/>
    </row>
    <row r="46" spans="1:19" ht="12.75">
      <c r="A46" s="11" t="s">
        <v>42</v>
      </c>
      <c r="B46" s="12">
        <f>Лист1!B39</f>
        <v>4164.82</v>
      </c>
      <c r="C46" s="61">
        <f>Лист1!C39</f>
        <v>36025.693</v>
      </c>
      <c r="D46" s="32">
        <f>Лист1!D39</f>
        <v>3242.6530000000007</v>
      </c>
      <c r="E46" s="34">
        <f>Лист1!S39</f>
        <v>32783.04</v>
      </c>
      <c r="F46" s="17">
        <f>Лист1!T39</f>
        <v>0</v>
      </c>
      <c r="G46" s="82">
        <f>Лист1!AF39</f>
        <v>8731.00519</v>
      </c>
      <c r="H46" s="33">
        <f>Лист1!AB39</f>
        <v>27671.53</v>
      </c>
      <c r="I46" s="82">
        <f>Лист1!AB39</f>
        <v>27671.53</v>
      </c>
      <c r="J46" s="33">
        <f>Лист1!AG39</f>
        <v>2498.892</v>
      </c>
      <c r="K46" s="17">
        <f>Лист1!AI39+Лист1!AJ39</f>
        <v>4164.82</v>
      </c>
      <c r="L46" s="17">
        <f>Лист1!AH39+Лист1!AK39+Лист1!AL39+Лист1!AM39+Лист1!AN39+Лист1!AO39+Лист1!AP39+Лист1!AQ39+Лист1!AR39</f>
        <v>14285.332599999998</v>
      </c>
      <c r="M46" s="18">
        <f>Лист1!AS39+Лист1!AT39+Лист1!AU39</f>
        <v>24420</v>
      </c>
      <c r="N46" s="18">
        <f>Лист1!AX39</f>
        <v>1278.1999999999998</v>
      </c>
      <c r="O46" s="81">
        <f>Лист1!BB39</f>
        <v>46647.2446</v>
      </c>
      <c r="P46" s="34">
        <f>Лист1!BD39</f>
        <v>-10166.953909999997</v>
      </c>
      <c r="Q46" s="19">
        <f>Лист1!BE39</f>
        <v>-5111.510000000002</v>
      </c>
      <c r="R46" s="1"/>
      <c r="S46" s="1"/>
    </row>
    <row r="47" spans="1:19" ht="13.5" thickBot="1">
      <c r="A47" s="137" t="s">
        <v>43</v>
      </c>
      <c r="B47" s="160">
        <f>Лист1!B40</f>
        <v>4164.82</v>
      </c>
      <c r="C47" s="161">
        <f>Лист1!C40</f>
        <v>36025.693</v>
      </c>
      <c r="D47" s="162">
        <f>Лист1!D40</f>
        <v>3270.102999999996</v>
      </c>
      <c r="E47" s="163">
        <f>Лист1!S40</f>
        <v>32755.590000000004</v>
      </c>
      <c r="F47" s="164">
        <f>Лист1!T40</f>
        <v>0</v>
      </c>
      <c r="G47" s="165">
        <f>Лист1!AF40</f>
        <v>8731.00519</v>
      </c>
      <c r="H47" s="166">
        <f>Лист1!AB40</f>
        <v>31243.68</v>
      </c>
      <c r="I47" s="165">
        <f>Лист1!AB40</f>
        <v>31243.68</v>
      </c>
      <c r="J47" s="166">
        <f>Лист1!AG40</f>
        <v>2498.892</v>
      </c>
      <c r="K47" s="164">
        <f>Лист1!AI40+Лист1!AJ40</f>
        <v>4164.82</v>
      </c>
      <c r="L47" s="164">
        <f>Лист1!AH40+Лист1!AK40+Лист1!AL40+Лист1!AM40+Лист1!AN40+Лист1!AO40+Лист1!AP40+Лист1!AQ40+Лист1!AR40</f>
        <v>14285.332599999998</v>
      </c>
      <c r="M47" s="167">
        <f>Лист1!AS40+Лист1!AT40+Лист1!AU40</f>
        <v>8016.026</v>
      </c>
      <c r="N47" s="167">
        <f>Лист1!AX40</f>
        <v>2081.7999999999997</v>
      </c>
      <c r="O47" s="168">
        <f>Лист1!BB40</f>
        <v>31046.870600000002</v>
      </c>
      <c r="P47" s="163">
        <f>Лист1!BD40</f>
        <v>9033.02008999999</v>
      </c>
      <c r="Q47" s="169">
        <f>Лист1!BE40</f>
        <v>-1511.9100000000035</v>
      </c>
      <c r="R47" s="1"/>
      <c r="S47" s="1"/>
    </row>
    <row r="48" spans="1:19" s="25" customFormat="1" ht="13.5" thickBot="1">
      <c r="A48" s="170" t="s">
        <v>5</v>
      </c>
      <c r="B48" s="148"/>
      <c r="C48" s="150">
        <f aca="true" t="shared" si="3" ref="C48:P48">SUM(C36:C47)</f>
        <v>432302.4339999999</v>
      </c>
      <c r="D48" s="150">
        <f t="shared" si="3"/>
        <v>39551.503999999986</v>
      </c>
      <c r="E48" s="150">
        <f t="shared" si="3"/>
        <v>360005.72000000003</v>
      </c>
      <c r="F48" s="150">
        <f t="shared" si="3"/>
        <v>32745.21</v>
      </c>
      <c r="G48" s="150">
        <f t="shared" si="3"/>
        <v>72873.85791999998</v>
      </c>
      <c r="H48" s="150">
        <f t="shared" si="3"/>
        <v>333054.50999999995</v>
      </c>
      <c r="I48" s="150">
        <f t="shared" si="3"/>
        <v>333054.50999999995</v>
      </c>
      <c r="J48" s="150">
        <f t="shared" si="3"/>
        <v>29986.295999999995</v>
      </c>
      <c r="K48" s="150">
        <f t="shared" si="3"/>
        <v>49977.159999999996</v>
      </c>
      <c r="L48" s="150">
        <f t="shared" si="3"/>
        <v>178872.26879999996</v>
      </c>
      <c r="M48" s="150">
        <f t="shared" si="3"/>
        <v>130144.6544</v>
      </c>
      <c r="N48" s="150">
        <f t="shared" si="3"/>
        <v>14184.8</v>
      </c>
      <c r="O48" s="150">
        <f t="shared" si="3"/>
        <v>429201.8792</v>
      </c>
      <c r="P48" s="150">
        <f t="shared" si="3"/>
        <v>20411.956720000002</v>
      </c>
      <c r="Q48" s="150">
        <f>SUM(Q36:Q47)</f>
        <v>-26951.210000000006</v>
      </c>
      <c r="R48" s="35"/>
      <c r="S48" s="35"/>
    </row>
    <row r="49" spans="1:19" ht="13.5" thickBot="1">
      <c r="A49" s="171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5"/>
      <c r="R49" s="1"/>
      <c r="S49" s="1"/>
    </row>
    <row r="50" spans="1:19" ht="13.5" thickBot="1">
      <c r="A50" s="172" t="s">
        <v>85</v>
      </c>
      <c r="B50" s="157"/>
      <c r="C50" s="158">
        <f>C48+C33+C19</f>
        <v>972713.7789999999</v>
      </c>
      <c r="D50" s="158">
        <f aca="true" t="shared" si="4" ref="D50:Q50">D48+D33+D19</f>
        <v>114064.82362264997</v>
      </c>
      <c r="E50" s="158">
        <f t="shared" si="4"/>
        <v>748417.06</v>
      </c>
      <c r="F50" s="158">
        <f t="shared" si="4"/>
        <v>107883.98</v>
      </c>
      <c r="G50" s="158">
        <f t="shared" si="4"/>
        <v>103459.09128999998</v>
      </c>
      <c r="H50" s="158">
        <f t="shared" si="4"/>
        <v>677338.04</v>
      </c>
      <c r="I50" s="158">
        <f t="shared" si="4"/>
        <v>677338.04</v>
      </c>
      <c r="J50" s="158">
        <f t="shared" si="4"/>
        <v>66471.85199999998</v>
      </c>
      <c r="K50" s="158">
        <f t="shared" si="4"/>
        <v>110341.568744165</v>
      </c>
      <c r="L50" s="158">
        <f t="shared" si="4"/>
        <v>427719.3180559058</v>
      </c>
      <c r="M50" s="158">
        <f t="shared" si="4"/>
        <v>288728.8174</v>
      </c>
      <c r="N50" s="158">
        <f t="shared" si="4"/>
        <v>31915.3856</v>
      </c>
      <c r="O50" s="158">
        <f t="shared" si="4"/>
        <v>989509.4562000708</v>
      </c>
      <c r="P50" s="158">
        <f t="shared" si="4"/>
        <v>-29131.95156851187</v>
      </c>
      <c r="Q50" s="159">
        <f t="shared" si="4"/>
        <v>-71079.02000000002</v>
      </c>
      <c r="R50" s="1"/>
      <c r="S50" s="1"/>
    </row>
    <row r="52" spans="1:6" ht="12.75">
      <c r="A52" s="242" t="s">
        <v>87</v>
      </c>
      <c r="B52" s="241"/>
      <c r="C52" s="241"/>
      <c r="D52" s="244" t="s">
        <v>88</v>
      </c>
      <c r="E52" s="241"/>
      <c r="F52" s="241"/>
    </row>
    <row r="53" spans="1:6" ht="12.75">
      <c r="A53" s="243" t="s">
        <v>89</v>
      </c>
      <c r="B53" s="243" t="s">
        <v>90</v>
      </c>
      <c r="C53" s="239" t="s">
        <v>91</v>
      </c>
      <c r="D53" s="239"/>
      <c r="E53" s="241"/>
      <c r="F53" s="241"/>
    </row>
    <row r="54" spans="1:6" ht="12.75">
      <c r="A54" s="245">
        <v>282961.45</v>
      </c>
      <c r="B54" s="246">
        <v>64707</v>
      </c>
      <c r="C54" s="240">
        <f>A54-B54</f>
        <v>218254.45</v>
      </c>
      <c r="D54" s="247"/>
      <c r="E54" s="241"/>
      <c r="F54" s="241"/>
    </row>
    <row r="56" spans="1:19" ht="12.75">
      <c r="A56" s="2" t="s">
        <v>67</v>
      </c>
      <c r="H56" s="2" t="s">
        <v>68</v>
      </c>
      <c r="R56" s="1"/>
      <c r="S56" s="1"/>
    </row>
    <row r="57" ht="12.75">
      <c r="A57" s="1"/>
    </row>
    <row r="58" ht="12.75">
      <c r="A58" s="1"/>
    </row>
    <row r="59" ht="12.75">
      <c r="A59" s="1" t="s">
        <v>74</v>
      </c>
    </row>
    <row r="60" ht="12.75">
      <c r="A60" s="2" t="s">
        <v>69</v>
      </c>
    </row>
  </sheetData>
  <sheetProtection/>
  <mergeCells count="22">
    <mergeCell ref="C53:D53"/>
    <mergeCell ref="C54:D54"/>
    <mergeCell ref="A6:P6"/>
    <mergeCell ref="A10:A13"/>
    <mergeCell ref="B10:B13"/>
    <mergeCell ref="C10:C13"/>
    <mergeCell ref="D10:D13"/>
    <mergeCell ref="J10:O11"/>
    <mergeCell ref="P10:P13"/>
    <mergeCell ref="A7:G7"/>
    <mergeCell ref="I12:I13"/>
    <mergeCell ref="J12:J13"/>
    <mergeCell ref="K12:K13"/>
    <mergeCell ref="H10:I11"/>
    <mergeCell ref="G10:G13"/>
    <mergeCell ref="E10:F11"/>
    <mergeCell ref="E12:F12"/>
    <mergeCell ref="Q10:Q13"/>
    <mergeCell ref="L12:L13"/>
    <mergeCell ref="M12:M13"/>
    <mergeCell ref="N12:N13"/>
    <mergeCell ref="O12:O13"/>
  </mergeCells>
  <printOptions/>
  <pageMargins left="0.17" right="0.16" top="0.3937007874015748" bottom="0.29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2010-07-07T10:11:41Z</cp:lastPrinted>
  <dcterms:created xsi:type="dcterms:W3CDTF">2010-04-03T04:08:20Z</dcterms:created>
  <dcterms:modified xsi:type="dcterms:W3CDTF">2011-04-12T03:11:31Z</dcterms:modified>
  <cp:category/>
  <cp:version/>
  <cp:contentType/>
  <cp:contentStatus/>
</cp:coreProperties>
</file>